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pivotTables/pivotTable1.xml" ContentType="application/vnd.openxmlformats-officedocument.spreadsheetml.pivotTable+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hidePivotFieldList="1" defaultThemeVersion="124226"/>
  <mc:AlternateContent xmlns:mc="http://schemas.openxmlformats.org/markup-compatibility/2006">
    <mc:Choice Requires="x15">
      <x15ac:absPath xmlns:x15ac="http://schemas.microsoft.com/office/spreadsheetml/2010/11/ac" url="C:\Users\KarimMahuad\Desktop\Control Interno Karim\Gestión de Riesgos\documentos 2024\"/>
    </mc:Choice>
  </mc:AlternateContent>
  <xr:revisionPtr revIDLastSave="0" documentId="8_{F924607D-04CE-4453-B8DA-389DB0FC2436}" xr6:coauthVersionLast="36" xr6:coauthVersionMax="36" xr10:uidLastSave="{00000000-0000-0000-0000-000000000000}"/>
  <bookViews>
    <workbookView xWindow="0" yWindow="0" windowWidth="28800" windowHeight="11925" tabRatio="658" firstSheet="1" activeTab="3" xr2:uid="{00000000-000D-0000-FFFF-FFFF00000000}"/>
  </bookViews>
  <sheets>
    <sheet name="Instructivo" sheetId="20" state="hidden" r:id="rId1"/>
    <sheet name="Mapa inherente" sheetId="22" r:id="rId2"/>
    <sheet name="Matriz Calor Inherente" sheetId="18" state="hidden" r:id="rId3"/>
    <sheet name="Hoja de controles" sheetId="23" r:id="rId4"/>
    <sheet name="Hoja2" sheetId="24" state="hidden" r:id="rId5"/>
    <sheet name="Tabla probabilidad" sheetId="12" state="hidden" r:id="rId6"/>
    <sheet name="Tabla Impacto" sheetId="13" state="hidden" r:id="rId7"/>
    <sheet name="Tabla Valoración controles" sheetId="15" state="hidden" r:id="rId8"/>
    <sheet name="Opciones Tratamiento" sheetId="16" state="hidden" r:id="rId9"/>
    <sheet name="Hoja1" sheetId="11" state="hidden" r:id="rId10"/>
  </sheets>
  <externalReferences>
    <externalReference r:id="rId11"/>
    <externalReference r:id="rId12"/>
    <externalReference r:id="rId13"/>
    <externalReference r:id="rId14"/>
    <externalReference r:id="rId15"/>
    <externalReference r:id="rId16"/>
  </externalReferences>
  <definedNames>
    <definedName name="_xlnm.Print_Area" localSheetId="3">'Hoja de controles'!$A$1:$T$149</definedName>
    <definedName name="_xlnm.Print_Area" localSheetId="1">'Mapa inherente'!$A$1:$N$43</definedName>
  </definedNames>
  <calcPr calcId="191029"/>
  <pivotCaches>
    <pivotCache cacheId="15" r:id="rId17"/>
  </pivotCaches>
</workbook>
</file>

<file path=xl/calcChain.xml><?xml version="1.0" encoding="utf-8"?>
<calcChain xmlns="http://schemas.openxmlformats.org/spreadsheetml/2006/main">
  <c r="N71" i="23" l="1"/>
  <c r="M71" i="23"/>
  <c r="N68" i="23" l="1"/>
  <c r="M68" i="23"/>
  <c r="N67" i="23"/>
  <c r="M67" i="23"/>
  <c r="N66" i="23"/>
  <c r="M66" i="23"/>
  <c r="N60" i="23" l="1"/>
  <c r="M60" i="23"/>
  <c r="N59" i="23"/>
  <c r="M59" i="23"/>
  <c r="N58" i="23"/>
  <c r="M58" i="23"/>
  <c r="N57" i="23"/>
  <c r="M57" i="23"/>
  <c r="N56" i="23"/>
  <c r="M56" i="23"/>
  <c r="N55" i="23"/>
  <c r="M55" i="23"/>
  <c r="N50" i="23" l="1"/>
  <c r="M50" i="23"/>
  <c r="N49" i="23"/>
  <c r="M49" i="23"/>
  <c r="N48" i="23"/>
  <c r="M48" i="23"/>
  <c r="N47" i="23"/>
  <c r="M47" i="23"/>
  <c r="N46" i="23" l="1"/>
  <c r="M46" i="23"/>
  <c r="N45" i="23"/>
  <c r="M45" i="23"/>
  <c r="N44" i="23"/>
  <c r="M44" i="23"/>
  <c r="N43" i="23" l="1"/>
  <c r="M43" i="23"/>
  <c r="C42" i="23"/>
  <c r="B42" i="23"/>
  <c r="B46" i="23" l="1"/>
  <c r="C46" i="23"/>
  <c r="B47" i="23"/>
  <c r="C47" i="23"/>
  <c r="B48" i="23"/>
  <c r="C48" i="23"/>
  <c r="B49" i="23"/>
  <c r="C49" i="23"/>
  <c r="B50" i="23"/>
  <c r="C50" i="23"/>
  <c r="B51" i="23"/>
  <c r="C51" i="23"/>
  <c r="B52" i="23"/>
  <c r="C52" i="23"/>
  <c r="B53" i="23"/>
  <c r="C53" i="23"/>
  <c r="B54" i="23"/>
  <c r="C54" i="23"/>
  <c r="B55" i="23"/>
  <c r="C55" i="23"/>
  <c r="B56" i="23"/>
  <c r="C56" i="23"/>
  <c r="B57" i="23"/>
  <c r="C57" i="23"/>
  <c r="B58" i="23"/>
  <c r="C58" i="23"/>
  <c r="B59" i="23"/>
  <c r="C59" i="23"/>
  <c r="B60" i="23"/>
  <c r="C60" i="23"/>
  <c r="B61" i="23"/>
  <c r="C61" i="23"/>
  <c r="B62" i="23"/>
  <c r="C62" i="23"/>
  <c r="B63" i="23"/>
  <c r="C63" i="23"/>
  <c r="B64" i="23"/>
  <c r="C64" i="23"/>
  <c r="B65" i="23"/>
  <c r="C65" i="23"/>
  <c r="B66" i="23"/>
  <c r="C66" i="23"/>
  <c r="B67" i="23"/>
  <c r="C67" i="23"/>
  <c r="B68" i="23"/>
  <c r="C68" i="23"/>
  <c r="B69" i="23"/>
  <c r="B70" i="23"/>
  <c r="C70" i="23"/>
  <c r="B71" i="23"/>
  <c r="C71" i="23"/>
  <c r="B72" i="23"/>
  <c r="D72" i="23" s="1"/>
  <c r="C72" i="23"/>
  <c r="M72" i="23"/>
  <c r="N72" i="23"/>
  <c r="O72" i="23"/>
  <c r="P72" i="23" s="1"/>
  <c r="Q72" i="23"/>
  <c r="R72" i="23" s="1"/>
  <c r="B73" i="23"/>
  <c r="D73" i="23" s="1"/>
  <c r="C73" i="23"/>
  <c r="M73" i="23"/>
  <c r="N73" i="23"/>
  <c r="O73" i="23"/>
  <c r="P73" i="23" s="1"/>
  <c r="Q73" i="23"/>
  <c r="R73" i="23" s="1"/>
  <c r="B74" i="23"/>
  <c r="D74" i="23" s="1"/>
  <c r="C74" i="23"/>
  <c r="M74" i="23"/>
  <c r="N74" i="23"/>
  <c r="O74" i="23"/>
  <c r="P74" i="23" s="1"/>
  <c r="Q74" i="23"/>
  <c r="R74" i="23" s="1"/>
  <c r="B75" i="23"/>
  <c r="D75" i="23" s="1"/>
  <c r="C75" i="23"/>
  <c r="M75" i="23"/>
  <c r="N75" i="23"/>
  <c r="O75" i="23"/>
  <c r="P75" i="23" s="1"/>
  <c r="Q75" i="23"/>
  <c r="R75" i="23" s="1"/>
  <c r="B76" i="23"/>
  <c r="D76" i="23" s="1"/>
  <c r="C76" i="23"/>
  <c r="M76" i="23"/>
  <c r="N76" i="23"/>
  <c r="O76" i="23"/>
  <c r="P76" i="23" s="1"/>
  <c r="Q76" i="23"/>
  <c r="R76" i="23" s="1"/>
  <c r="B77" i="23"/>
  <c r="D77" i="23" s="1"/>
  <c r="C77" i="23"/>
  <c r="M77" i="23"/>
  <c r="N77" i="23"/>
  <c r="O77" i="23"/>
  <c r="P77" i="23" s="1"/>
  <c r="Q77" i="23"/>
  <c r="R77" i="23" s="1"/>
  <c r="B78" i="23"/>
  <c r="D78" i="23" s="1"/>
  <c r="C78" i="23"/>
  <c r="M78" i="23"/>
  <c r="N78" i="23"/>
  <c r="O78" i="23"/>
  <c r="P78" i="23" s="1"/>
  <c r="Q78" i="23"/>
  <c r="R78" i="23" s="1"/>
  <c r="B79" i="23"/>
  <c r="D79" i="23" s="1"/>
  <c r="C79" i="23"/>
  <c r="M79" i="23"/>
  <c r="N79" i="23"/>
  <c r="O79" i="23"/>
  <c r="P79" i="23" s="1"/>
  <c r="Q79" i="23"/>
  <c r="R79" i="23" s="1"/>
  <c r="B80" i="23"/>
  <c r="D80" i="23" s="1"/>
  <c r="C80" i="23"/>
  <c r="M80" i="23"/>
  <c r="N80" i="23"/>
  <c r="O80" i="23"/>
  <c r="P80" i="23" s="1"/>
  <c r="Q80" i="23"/>
  <c r="R80" i="23" s="1"/>
  <c r="B81" i="23"/>
  <c r="D81" i="23" s="1"/>
  <c r="C81" i="23"/>
  <c r="M81" i="23"/>
  <c r="N81" i="23"/>
  <c r="O81" i="23"/>
  <c r="P81" i="23" s="1"/>
  <c r="Q81" i="23"/>
  <c r="R81" i="23" s="1"/>
  <c r="B82" i="23"/>
  <c r="D82" i="23" s="1"/>
  <c r="C82" i="23"/>
  <c r="M82" i="23"/>
  <c r="N82" i="23"/>
  <c r="O82" i="23"/>
  <c r="P82" i="23" s="1"/>
  <c r="Q82" i="23"/>
  <c r="R82" i="23" s="1"/>
  <c r="B83" i="23"/>
  <c r="D83" i="23" s="1"/>
  <c r="C83" i="23"/>
  <c r="M83" i="23"/>
  <c r="N83" i="23"/>
  <c r="O83" i="23"/>
  <c r="P83" i="23" s="1"/>
  <c r="Q83" i="23"/>
  <c r="R83" i="23" s="1"/>
  <c r="B84" i="23"/>
  <c r="D84" i="23" s="1"/>
  <c r="C84" i="23"/>
  <c r="M84" i="23"/>
  <c r="N84" i="23"/>
  <c r="O84" i="23"/>
  <c r="P84" i="23" s="1"/>
  <c r="Q84" i="23"/>
  <c r="R84" i="23" s="1"/>
  <c r="B85" i="23"/>
  <c r="D85" i="23" s="1"/>
  <c r="C85" i="23"/>
  <c r="M85" i="23"/>
  <c r="N85" i="23"/>
  <c r="O85" i="23"/>
  <c r="P85" i="23" s="1"/>
  <c r="Q85" i="23"/>
  <c r="R85" i="23" s="1"/>
  <c r="B86" i="23"/>
  <c r="D86" i="23" s="1"/>
  <c r="C86" i="23"/>
  <c r="M86" i="23"/>
  <c r="N86" i="23"/>
  <c r="O86" i="23"/>
  <c r="P86" i="23" s="1"/>
  <c r="Q86" i="23"/>
  <c r="R86" i="23" s="1"/>
  <c r="B87" i="23"/>
  <c r="D87" i="23" s="1"/>
  <c r="C87" i="23"/>
  <c r="M87" i="23"/>
  <c r="N87" i="23"/>
  <c r="O87" i="23"/>
  <c r="P87" i="23" s="1"/>
  <c r="Q87" i="23"/>
  <c r="R87" i="23" s="1"/>
  <c r="B88" i="23"/>
  <c r="D88" i="23" s="1"/>
  <c r="C88" i="23"/>
  <c r="M88" i="23"/>
  <c r="N88" i="23"/>
  <c r="O88" i="23"/>
  <c r="P88" i="23" s="1"/>
  <c r="Q88" i="23"/>
  <c r="R88" i="23" s="1"/>
  <c r="B89" i="23"/>
  <c r="D89" i="23" s="1"/>
  <c r="C89" i="23"/>
  <c r="M89" i="23"/>
  <c r="N89" i="23"/>
  <c r="O89" i="23"/>
  <c r="P89" i="23" s="1"/>
  <c r="Q89" i="23"/>
  <c r="R89" i="23" s="1"/>
  <c r="B90" i="23"/>
  <c r="D90" i="23" s="1"/>
  <c r="C90" i="23"/>
  <c r="M90" i="23"/>
  <c r="N90" i="23"/>
  <c r="O90" i="23"/>
  <c r="P90" i="23" s="1"/>
  <c r="Q90" i="23"/>
  <c r="R90" i="23" s="1"/>
  <c r="B91" i="23"/>
  <c r="D91" i="23" s="1"/>
  <c r="C91" i="23"/>
  <c r="M91" i="23"/>
  <c r="N91" i="23"/>
  <c r="O91" i="23"/>
  <c r="P91" i="23" s="1"/>
  <c r="Q91" i="23"/>
  <c r="R91" i="23" s="1"/>
  <c r="B92" i="23"/>
  <c r="D92" i="23" s="1"/>
  <c r="C92" i="23"/>
  <c r="M92" i="23"/>
  <c r="N92" i="23"/>
  <c r="O92" i="23"/>
  <c r="P92" i="23" s="1"/>
  <c r="Q92" i="23"/>
  <c r="R92" i="23" s="1"/>
  <c r="B93" i="23"/>
  <c r="D93" i="23" s="1"/>
  <c r="C93" i="23"/>
  <c r="M93" i="23"/>
  <c r="N93" i="23"/>
  <c r="O93" i="23"/>
  <c r="P93" i="23" s="1"/>
  <c r="Q93" i="23"/>
  <c r="R93" i="23" s="1"/>
  <c r="B94" i="23"/>
  <c r="D94" i="23" s="1"/>
  <c r="C94" i="23"/>
  <c r="M94" i="23"/>
  <c r="N94" i="23"/>
  <c r="O94" i="23"/>
  <c r="P94" i="23" s="1"/>
  <c r="Q94" i="23"/>
  <c r="R94" i="23" s="1"/>
  <c r="B95" i="23"/>
  <c r="D95" i="23" s="1"/>
  <c r="C95" i="23"/>
  <c r="M95" i="23"/>
  <c r="N95" i="23"/>
  <c r="O95" i="23"/>
  <c r="P95" i="23" s="1"/>
  <c r="Q95" i="23"/>
  <c r="R95" i="23" s="1"/>
  <c r="B96" i="23"/>
  <c r="D96" i="23" s="1"/>
  <c r="C96" i="23"/>
  <c r="M96" i="23"/>
  <c r="N96" i="23"/>
  <c r="O96" i="23"/>
  <c r="P96" i="23" s="1"/>
  <c r="Q96" i="23"/>
  <c r="R96" i="23" s="1"/>
  <c r="B97" i="23"/>
  <c r="D97" i="23" s="1"/>
  <c r="C97" i="23"/>
  <c r="M97" i="23"/>
  <c r="N97" i="23"/>
  <c r="O97" i="23"/>
  <c r="P97" i="23" s="1"/>
  <c r="Q97" i="23"/>
  <c r="R97" i="23" s="1"/>
  <c r="B98" i="23"/>
  <c r="D98" i="23" s="1"/>
  <c r="C98" i="23"/>
  <c r="M98" i="23"/>
  <c r="N98" i="23"/>
  <c r="O98" i="23"/>
  <c r="P98" i="23" s="1"/>
  <c r="Q98" i="23"/>
  <c r="R98" i="23" s="1"/>
  <c r="B99" i="23"/>
  <c r="D99" i="23" s="1"/>
  <c r="C99" i="23"/>
  <c r="M99" i="23"/>
  <c r="N99" i="23"/>
  <c r="O99" i="23"/>
  <c r="P99" i="23" s="1"/>
  <c r="Q99" i="23"/>
  <c r="R99" i="23" s="1"/>
  <c r="B100" i="23"/>
  <c r="D100" i="23" s="1"/>
  <c r="C100" i="23"/>
  <c r="M100" i="23"/>
  <c r="N100" i="23"/>
  <c r="O100" i="23"/>
  <c r="P100" i="23" s="1"/>
  <c r="Q100" i="23"/>
  <c r="R100" i="23" s="1"/>
  <c r="B101" i="23"/>
  <c r="D101" i="23" s="1"/>
  <c r="C101" i="23"/>
  <c r="M101" i="23"/>
  <c r="N101" i="23"/>
  <c r="O101" i="23"/>
  <c r="P101" i="23" s="1"/>
  <c r="Q101" i="23"/>
  <c r="R101" i="23" s="1"/>
  <c r="B102" i="23"/>
  <c r="D102" i="23" s="1"/>
  <c r="C102" i="23"/>
  <c r="M102" i="23"/>
  <c r="N102" i="23"/>
  <c r="O102" i="23"/>
  <c r="P102" i="23" s="1"/>
  <c r="Q102" i="23"/>
  <c r="R102" i="23" s="1"/>
  <c r="B103" i="23"/>
  <c r="D103" i="23" s="1"/>
  <c r="C103" i="23"/>
  <c r="M103" i="23"/>
  <c r="N103" i="23"/>
  <c r="O103" i="23"/>
  <c r="P103" i="23" s="1"/>
  <c r="Q103" i="23"/>
  <c r="R103" i="23" s="1"/>
  <c r="B104" i="23"/>
  <c r="D104" i="23" s="1"/>
  <c r="C104" i="23"/>
  <c r="M104" i="23"/>
  <c r="N104" i="23"/>
  <c r="O104" i="23"/>
  <c r="P104" i="23" s="1"/>
  <c r="Q104" i="23"/>
  <c r="R104" i="23" s="1"/>
  <c r="B105" i="23"/>
  <c r="D105" i="23" s="1"/>
  <c r="C105" i="23"/>
  <c r="M105" i="23"/>
  <c r="N105" i="23"/>
  <c r="O105" i="23"/>
  <c r="P105" i="23" s="1"/>
  <c r="Q105" i="23"/>
  <c r="R105" i="23" s="1"/>
  <c r="B106" i="23"/>
  <c r="D106" i="23" s="1"/>
  <c r="C106" i="23"/>
  <c r="M106" i="23"/>
  <c r="N106" i="23"/>
  <c r="O106" i="23"/>
  <c r="P106" i="23" s="1"/>
  <c r="Q106" i="23"/>
  <c r="R106" i="23" s="1"/>
  <c r="B107" i="23"/>
  <c r="D107" i="23" s="1"/>
  <c r="C107" i="23"/>
  <c r="M107" i="23"/>
  <c r="N107" i="23"/>
  <c r="O107" i="23"/>
  <c r="P107" i="23" s="1"/>
  <c r="Q107" i="23"/>
  <c r="R107" i="23" s="1"/>
  <c r="B108" i="23"/>
  <c r="D108" i="23" s="1"/>
  <c r="C108" i="23"/>
  <c r="M108" i="23"/>
  <c r="N108" i="23"/>
  <c r="O108" i="23"/>
  <c r="P108" i="23" s="1"/>
  <c r="Q108" i="23"/>
  <c r="R108" i="23" s="1"/>
  <c r="B109" i="23"/>
  <c r="D109" i="23" s="1"/>
  <c r="C109" i="23"/>
  <c r="M109" i="23"/>
  <c r="N109" i="23"/>
  <c r="O109" i="23"/>
  <c r="P109" i="23" s="1"/>
  <c r="Q109" i="23"/>
  <c r="R109" i="23" s="1"/>
  <c r="B110" i="23"/>
  <c r="D110" i="23" s="1"/>
  <c r="C110" i="23"/>
  <c r="M110" i="23"/>
  <c r="N110" i="23"/>
  <c r="O110" i="23"/>
  <c r="P110" i="23" s="1"/>
  <c r="Q110" i="23"/>
  <c r="R110" i="23" s="1"/>
  <c r="B111" i="23"/>
  <c r="D111" i="23" s="1"/>
  <c r="C111" i="23"/>
  <c r="M111" i="23"/>
  <c r="N111" i="23"/>
  <c r="O111" i="23"/>
  <c r="P111" i="23" s="1"/>
  <c r="Q111" i="23"/>
  <c r="R111" i="23" s="1"/>
  <c r="B112" i="23"/>
  <c r="D112" i="23" s="1"/>
  <c r="C112" i="23"/>
  <c r="M112" i="23"/>
  <c r="N112" i="23"/>
  <c r="O112" i="23"/>
  <c r="P112" i="23" s="1"/>
  <c r="Q112" i="23"/>
  <c r="R112" i="23" s="1"/>
  <c r="B113" i="23"/>
  <c r="D113" i="23" s="1"/>
  <c r="C113" i="23"/>
  <c r="M113" i="23"/>
  <c r="N113" i="23"/>
  <c r="O113" i="23"/>
  <c r="P113" i="23" s="1"/>
  <c r="Q113" i="23"/>
  <c r="R113" i="23" s="1"/>
  <c r="B114" i="23"/>
  <c r="D114" i="23" s="1"/>
  <c r="C114" i="23"/>
  <c r="M114" i="23"/>
  <c r="N114" i="23"/>
  <c r="O114" i="23"/>
  <c r="P114" i="23" s="1"/>
  <c r="Q114" i="23"/>
  <c r="R114" i="23" s="1"/>
  <c r="B115" i="23"/>
  <c r="D115" i="23" s="1"/>
  <c r="C115" i="23"/>
  <c r="M115" i="23"/>
  <c r="N115" i="23"/>
  <c r="O115" i="23"/>
  <c r="P115" i="23" s="1"/>
  <c r="Q115" i="23"/>
  <c r="R115" i="23" s="1"/>
  <c r="B116" i="23"/>
  <c r="D116" i="23" s="1"/>
  <c r="C116" i="23"/>
  <c r="M116" i="23"/>
  <c r="N116" i="23"/>
  <c r="O116" i="23"/>
  <c r="P116" i="23" s="1"/>
  <c r="Q116" i="23"/>
  <c r="R116" i="23" s="1"/>
  <c r="B117" i="23"/>
  <c r="D117" i="23" s="1"/>
  <c r="C117" i="23"/>
  <c r="M117" i="23"/>
  <c r="N117" i="23"/>
  <c r="O117" i="23"/>
  <c r="P117" i="23" s="1"/>
  <c r="Q117" i="23"/>
  <c r="R117" i="23" s="1"/>
  <c r="B118" i="23"/>
  <c r="D118" i="23" s="1"/>
  <c r="C118" i="23"/>
  <c r="M118" i="23"/>
  <c r="N118" i="23"/>
  <c r="O118" i="23"/>
  <c r="P118" i="23" s="1"/>
  <c r="Q118" i="23"/>
  <c r="R118" i="23" s="1"/>
  <c r="B119" i="23"/>
  <c r="D119" i="23" s="1"/>
  <c r="C119" i="23"/>
  <c r="M119" i="23"/>
  <c r="N119" i="23"/>
  <c r="O119" i="23"/>
  <c r="P119" i="23" s="1"/>
  <c r="Q119" i="23"/>
  <c r="R119" i="23" s="1"/>
  <c r="B120" i="23"/>
  <c r="D120" i="23" s="1"/>
  <c r="C120" i="23"/>
  <c r="M120" i="23"/>
  <c r="N120" i="23"/>
  <c r="O120" i="23"/>
  <c r="P120" i="23" s="1"/>
  <c r="Q120" i="23"/>
  <c r="R120" i="23" s="1"/>
  <c r="B121" i="23"/>
  <c r="D121" i="23" s="1"/>
  <c r="C121" i="23"/>
  <c r="M121" i="23"/>
  <c r="N121" i="23"/>
  <c r="O121" i="23"/>
  <c r="P121" i="23" s="1"/>
  <c r="Q121" i="23"/>
  <c r="R121" i="23" s="1"/>
  <c r="B122" i="23"/>
  <c r="D122" i="23" s="1"/>
  <c r="C122" i="23"/>
  <c r="M122" i="23"/>
  <c r="N122" i="23"/>
  <c r="O122" i="23"/>
  <c r="P122" i="23" s="1"/>
  <c r="Q122" i="23"/>
  <c r="R122" i="23" s="1"/>
  <c r="B123" i="23"/>
  <c r="D123" i="23" s="1"/>
  <c r="C123" i="23"/>
  <c r="M123" i="23"/>
  <c r="N123" i="23"/>
  <c r="O123" i="23"/>
  <c r="P123" i="23" s="1"/>
  <c r="Q123" i="23"/>
  <c r="R123" i="23" s="1"/>
  <c r="B124" i="23"/>
  <c r="D124" i="23" s="1"/>
  <c r="C124" i="23"/>
  <c r="M124" i="23"/>
  <c r="N124" i="23"/>
  <c r="O124" i="23"/>
  <c r="P124" i="23" s="1"/>
  <c r="Q124" i="23"/>
  <c r="R124" i="23" s="1"/>
  <c r="B125" i="23"/>
  <c r="D125" i="23" s="1"/>
  <c r="C125" i="23"/>
  <c r="M125" i="23"/>
  <c r="N125" i="23"/>
  <c r="O125" i="23"/>
  <c r="P125" i="23" s="1"/>
  <c r="Q125" i="23"/>
  <c r="R125" i="23" s="1"/>
  <c r="B126" i="23"/>
  <c r="D126" i="23" s="1"/>
  <c r="C126" i="23"/>
  <c r="M126" i="23"/>
  <c r="N126" i="23"/>
  <c r="O126" i="23"/>
  <c r="P126" i="23" s="1"/>
  <c r="Q126" i="23"/>
  <c r="R126" i="23" s="1"/>
  <c r="B127" i="23"/>
  <c r="D127" i="23" s="1"/>
  <c r="C127" i="23"/>
  <c r="M127" i="23"/>
  <c r="N127" i="23"/>
  <c r="O127" i="23"/>
  <c r="P127" i="23" s="1"/>
  <c r="Q127" i="23"/>
  <c r="R127" i="23" s="1"/>
  <c r="B128" i="23"/>
  <c r="D128" i="23" s="1"/>
  <c r="C128" i="23"/>
  <c r="M128" i="23"/>
  <c r="N128" i="23"/>
  <c r="O128" i="23"/>
  <c r="P128" i="23" s="1"/>
  <c r="Q128" i="23"/>
  <c r="R128" i="23" s="1"/>
  <c r="B129" i="23"/>
  <c r="D129" i="23" s="1"/>
  <c r="C129" i="23"/>
  <c r="M129" i="23"/>
  <c r="N129" i="23"/>
  <c r="O129" i="23"/>
  <c r="P129" i="23" s="1"/>
  <c r="Q129" i="23"/>
  <c r="R129" i="23" s="1"/>
  <c r="B130" i="23"/>
  <c r="D130" i="23" s="1"/>
  <c r="C130" i="23"/>
  <c r="M130" i="23"/>
  <c r="N130" i="23"/>
  <c r="O130" i="23"/>
  <c r="P130" i="23" s="1"/>
  <c r="Q130" i="23"/>
  <c r="R130" i="23" s="1"/>
  <c r="B131" i="23"/>
  <c r="D131" i="23" s="1"/>
  <c r="C131" i="23"/>
  <c r="M131" i="23"/>
  <c r="N131" i="23"/>
  <c r="O131" i="23"/>
  <c r="P131" i="23" s="1"/>
  <c r="Q131" i="23"/>
  <c r="R131" i="23" s="1"/>
  <c r="B132" i="23"/>
  <c r="D132" i="23" s="1"/>
  <c r="C132" i="23"/>
  <c r="M132" i="23"/>
  <c r="N132" i="23"/>
  <c r="O132" i="23"/>
  <c r="P132" i="23" s="1"/>
  <c r="Q132" i="23"/>
  <c r="R132" i="23" s="1"/>
  <c r="B133" i="23"/>
  <c r="D133" i="23" s="1"/>
  <c r="C133" i="23"/>
  <c r="M133" i="23"/>
  <c r="N133" i="23"/>
  <c r="O133" i="23"/>
  <c r="P133" i="23" s="1"/>
  <c r="Q133" i="23"/>
  <c r="R133" i="23" s="1"/>
  <c r="B134" i="23"/>
  <c r="D134" i="23" s="1"/>
  <c r="C134" i="23"/>
  <c r="M134" i="23"/>
  <c r="N134" i="23"/>
  <c r="O134" i="23"/>
  <c r="P134" i="23" s="1"/>
  <c r="Q134" i="23"/>
  <c r="R134" i="23" s="1"/>
  <c r="B135" i="23"/>
  <c r="D135" i="23" s="1"/>
  <c r="C135" i="23"/>
  <c r="M135" i="23"/>
  <c r="N135" i="23"/>
  <c r="O135" i="23"/>
  <c r="P135" i="23" s="1"/>
  <c r="Q135" i="23"/>
  <c r="R135" i="23" s="1"/>
  <c r="B136" i="23"/>
  <c r="D136" i="23" s="1"/>
  <c r="C136" i="23"/>
  <c r="M136" i="23"/>
  <c r="N136" i="23"/>
  <c r="O136" i="23"/>
  <c r="P136" i="23" s="1"/>
  <c r="Q136" i="23"/>
  <c r="R136" i="23" s="1"/>
  <c r="B137" i="23"/>
  <c r="D137" i="23" s="1"/>
  <c r="C137" i="23"/>
  <c r="M137" i="23"/>
  <c r="N137" i="23"/>
  <c r="O137" i="23"/>
  <c r="P137" i="23" s="1"/>
  <c r="Q137" i="23"/>
  <c r="R137" i="23" s="1"/>
  <c r="B138" i="23"/>
  <c r="D138" i="23" s="1"/>
  <c r="C138" i="23"/>
  <c r="M138" i="23"/>
  <c r="N138" i="23"/>
  <c r="O138" i="23"/>
  <c r="P138" i="23" s="1"/>
  <c r="Q138" i="23"/>
  <c r="R138" i="23" s="1"/>
  <c r="B139" i="23"/>
  <c r="D139" i="23" s="1"/>
  <c r="C139" i="23"/>
  <c r="M139" i="23"/>
  <c r="N139" i="23"/>
  <c r="O139" i="23"/>
  <c r="P139" i="23" s="1"/>
  <c r="Q139" i="23"/>
  <c r="R139" i="23" s="1"/>
  <c r="B140" i="23"/>
  <c r="D140" i="23" s="1"/>
  <c r="C140" i="23"/>
  <c r="M140" i="23"/>
  <c r="N140" i="23"/>
  <c r="O140" i="23"/>
  <c r="P140" i="23" s="1"/>
  <c r="Q140" i="23"/>
  <c r="R140" i="23" s="1"/>
  <c r="H18" i="22"/>
  <c r="I18" i="22" s="1"/>
  <c r="K18" i="22"/>
  <c r="L18" i="22" s="1"/>
  <c r="M18" i="22" s="1"/>
  <c r="H19" i="22"/>
  <c r="I19" i="22" s="1"/>
  <c r="K19" i="22"/>
  <c r="L19" i="22" s="1"/>
  <c r="H20" i="22"/>
  <c r="I20" i="22" s="1"/>
  <c r="K20" i="22"/>
  <c r="L20" i="22" s="1"/>
  <c r="H21" i="22"/>
  <c r="I21" i="22" s="1"/>
  <c r="K21" i="22"/>
  <c r="L21" i="22" s="1"/>
  <c r="M21" i="22" s="1"/>
  <c r="H22" i="22"/>
  <c r="I22" i="22"/>
  <c r="K22" i="22"/>
  <c r="L22" i="22" s="1"/>
  <c r="M22" i="22" s="1"/>
  <c r="H23" i="22"/>
  <c r="I23" i="22" s="1"/>
  <c r="K23" i="22"/>
  <c r="L23" i="22" s="1"/>
  <c r="M23" i="22" s="1"/>
  <c r="H24" i="22"/>
  <c r="I24" i="22" s="1"/>
  <c r="K24" i="22"/>
  <c r="L24" i="22" s="1"/>
  <c r="H25" i="22"/>
  <c r="I25" i="22"/>
  <c r="K25" i="22"/>
  <c r="L25" i="22" s="1"/>
  <c r="M25" i="22" s="1"/>
  <c r="H26" i="22"/>
  <c r="I26" i="22" s="1"/>
  <c r="K26" i="22"/>
  <c r="L26" i="22" s="1"/>
  <c r="M26" i="22" s="1"/>
  <c r="H27" i="22"/>
  <c r="I27" i="22" s="1"/>
  <c r="K27" i="22"/>
  <c r="L27" i="22" s="1"/>
  <c r="H28" i="22"/>
  <c r="I28" i="22" s="1"/>
  <c r="K28" i="22"/>
  <c r="L28" i="22" s="1"/>
  <c r="H29" i="22"/>
  <c r="I29" i="22" s="1"/>
  <c r="K29" i="22"/>
  <c r="L29" i="22" s="1"/>
  <c r="M29" i="22" s="1"/>
  <c r="H30" i="22"/>
  <c r="I30" i="22"/>
  <c r="K30" i="22"/>
  <c r="L30" i="22"/>
  <c r="M30" i="22" s="1"/>
  <c r="H31" i="22"/>
  <c r="I31" i="22" s="1"/>
  <c r="K31" i="22"/>
  <c r="L31" i="22" s="1"/>
  <c r="M31" i="22" s="1"/>
  <c r="H32" i="22"/>
  <c r="I32" i="22"/>
  <c r="K32" i="22"/>
  <c r="L32" i="22" s="1"/>
  <c r="H33" i="22"/>
  <c r="I33" i="22" s="1"/>
  <c r="K33" i="22"/>
  <c r="L33" i="22" s="1"/>
  <c r="M33" i="22" s="1"/>
  <c r="H34" i="22"/>
  <c r="I34" i="22" s="1"/>
  <c r="K34" i="22"/>
  <c r="L34" i="22" s="1"/>
  <c r="M34" i="22" s="1"/>
  <c r="H35" i="22"/>
  <c r="I35" i="22" s="1"/>
  <c r="K35" i="22"/>
  <c r="L35" i="22" s="1"/>
  <c r="H36" i="22"/>
  <c r="I36" i="22"/>
  <c r="K36" i="22"/>
  <c r="L36" i="22" s="1"/>
  <c r="H37" i="22"/>
  <c r="I37" i="22" s="1"/>
  <c r="K37" i="22"/>
  <c r="L37" i="22" s="1"/>
  <c r="M37" i="22" s="1"/>
  <c r="H38" i="22"/>
  <c r="I38" i="22" s="1"/>
  <c r="K38" i="22"/>
  <c r="L38" i="22" s="1"/>
  <c r="M38" i="22" s="1"/>
  <c r="D71" i="23" l="1"/>
  <c r="D69" i="23"/>
  <c r="Q69" i="23" s="1"/>
  <c r="R69" i="23" s="1"/>
  <c r="D65" i="23"/>
  <c r="O65" i="23" s="1"/>
  <c r="P65" i="23" s="1"/>
  <c r="D66" i="23"/>
  <c r="D67" i="23" s="1"/>
  <c r="D68" i="23" s="1"/>
  <c r="O69" i="23"/>
  <c r="D61" i="23"/>
  <c r="D62" i="23" s="1"/>
  <c r="D63" i="23" s="1"/>
  <c r="D64" i="23" s="1"/>
  <c r="D59" i="23"/>
  <c r="Q59" i="23" s="1"/>
  <c r="R59" i="23" s="1"/>
  <c r="D55" i="23"/>
  <c r="O55" i="23" s="1"/>
  <c r="P55" i="23" s="1"/>
  <c r="D51" i="23"/>
  <c r="O51" i="23" s="1"/>
  <c r="P51" i="23" s="1"/>
  <c r="D47" i="23"/>
  <c r="O47" i="23" s="1"/>
  <c r="P47" i="23" s="1"/>
  <c r="D58" i="23"/>
  <c r="D52" i="23"/>
  <c r="N23" i="22"/>
  <c r="S93" i="23"/>
  <c r="S77" i="23"/>
  <c r="S98" i="23"/>
  <c r="S94" i="23"/>
  <c r="S82" i="23"/>
  <c r="S78" i="23"/>
  <c r="S121" i="23"/>
  <c r="S84" i="23"/>
  <c r="S109" i="23"/>
  <c r="S125" i="23"/>
  <c r="S89" i="23"/>
  <c r="S130" i="23"/>
  <c r="S126" i="23"/>
  <c r="S73" i="23"/>
  <c r="S137" i="23"/>
  <c r="S105" i="23"/>
  <c r="S114" i="23"/>
  <c r="S110" i="23"/>
  <c r="S79" i="23"/>
  <c r="S107" i="23"/>
  <c r="S96" i="23"/>
  <c r="S80" i="23"/>
  <c r="S139" i="23"/>
  <c r="S128" i="23"/>
  <c r="S123" i="23"/>
  <c r="S112" i="23"/>
  <c r="S91" i="23"/>
  <c r="S75" i="23"/>
  <c r="S132" i="23"/>
  <c r="S127" i="23"/>
  <c r="S116" i="23"/>
  <c r="S111" i="23"/>
  <c r="S100" i="23"/>
  <c r="S95" i="23"/>
  <c r="S138" i="23"/>
  <c r="S133" i="23"/>
  <c r="S122" i="23"/>
  <c r="S117" i="23"/>
  <c r="S106" i="23"/>
  <c r="S101" i="23"/>
  <c r="S90" i="23"/>
  <c r="S85" i="23"/>
  <c r="S74" i="23"/>
  <c r="S134" i="23"/>
  <c r="S129" i="23"/>
  <c r="S118" i="23"/>
  <c r="S113" i="23"/>
  <c r="S102" i="23"/>
  <c r="S97" i="23"/>
  <c r="S86" i="23"/>
  <c r="S81" i="23"/>
  <c r="S140" i="23"/>
  <c r="S135" i="23"/>
  <c r="S124" i="23"/>
  <c r="S119" i="23"/>
  <c r="S108" i="23"/>
  <c r="S103" i="23"/>
  <c r="S92" i="23"/>
  <c r="S87" i="23"/>
  <c r="S76" i="23"/>
  <c r="S136" i="23"/>
  <c r="S131" i="23"/>
  <c r="S120" i="23"/>
  <c r="S115" i="23"/>
  <c r="S104" i="23"/>
  <c r="S99" i="23"/>
  <c r="S88" i="23"/>
  <c r="S83" i="23"/>
  <c r="S72" i="23"/>
  <c r="M20" i="22"/>
  <c r="N20" i="22"/>
  <c r="M27" i="22"/>
  <c r="N27" i="22"/>
  <c r="M19" i="22"/>
  <c r="N19" i="22"/>
  <c r="M35" i="22"/>
  <c r="N35" i="22"/>
  <c r="N31" i="22"/>
  <c r="N21" i="22"/>
  <c r="N25" i="22"/>
  <c r="N29" i="22"/>
  <c r="N33" i="22"/>
  <c r="N37" i="22"/>
  <c r="N22" i="22"/>
  <c r="N36" i="22"/>
  <c r="M36" i="22"/>
  <c r="N24" i="22"/>
  <c r="M24" i="22"/>
  <c r="M28" i="22"/>
  <c r="N28" i="22"/>
  <c r="N32" i="22"/>
  <c r="C69" i="23" s="1"/>
  <c r="M32" i="22"/>
  <c r="N18" i="22"/>
  <c r="N38" i="22"/>
  <c r="N34" i="22"/>
  <c r="N30" i="22"/>
  <c r="N26" i="22"/>
  <c r="Q71" i="23" l="1"/>
  <c r="R71" i="23" s="1"/>
  <c r="O71" i="23"/>
  <c r="P71" i="23" s="1"/>
  <c r="S71" i="23" s="1"/>
  <c r="O52" i="23"/>
  <c r="P52" i="23" s="1"/>
  <c r="Q65" i="23"/>
  <c r="R65" i="23" s="1"/>
  <c r="S65" i="23" s="1"/>
  <c r="D70" i="23"/>
  <c r="Q70" i="23" s="1"/>
  <c r="R70" i="23" s="1"/>
  <c r="P69" i="23"/>
  <c r="S69" i="23" s="1"/>
  <c r="O59" i="23"/>
  <c r="P59" i="23" s="1"/>
  <c r="S59" i="23" s="1"/>
  <c r="Q66" i="23"/>
  <c r="O66" i="23"/>
  <c r="P66" i="23" s="1"/>
  <c r="Q51" i="23"/>
  <c r="R51" i="23" s="1"/>
  <c r="S51" i="23" s="1"/>
  <c r="Q47" i="23"/>
  <c r="R47" i="23" s="1"/>
  <c r="S47" i="23" s="1"/>
  <c r="D56" i="23"/>
  <c r="O56" i="23" s="1"/>
  <c r="P56" i="23" s="1"/>
  <c r="Q55" i="23"/>
  <c r="R55" i="23" s="1"/>
  <c r="S55" i="23" s="1"/>
  <c r="O61" i="23"/>
  <c r="P61" i="23" s="1"/>
  <c r="Q61" i="23"/>
  <c r="R61" i="23" s="1"/>
  <c r="D60" i="23"/>
  <c r="Q60" i="23" s="1"/>
  <c r="R60" i="23" s="1"/>
  <c r="D48" i="23"/>
  <c r="Q58" i="23"/>
  <c r="R58" i="23" s="1"/>
  <c r="O58" i="23"/>
  <c r="P58" i="23" s="1"/>
  <c r="D53" i="23"/>
  <c r="N30" i="23"/>
  <c r="M30" i="23"/>
  <c r="N29" i="23"/>
  <c r="M29" i="23"/>
  <c r="N28" i="23"/>
  <c r="M28" i="23"/>
  <c r="N27" i="23"/>
  <c r="M27" i="23"/>
  <c r="N26" i="23"/>
  <c r="M26" i="23"/>
  <c r="N25" i="23"/>
  <c r="M25" i="23"/>
  <c r="O70" i="23" l="1"/>
  <c r="P70" i="23" s="1"/>
  <c r="S70" i="23" s="1"/>
  <c r="R66" i="23"/>
  <c r="S66" i="23" s="1"/>
  <c r="Q67" i="23"/>
  <c r="O67" i="23"/>
  <c r="Q52" i="23"/>
  <c r="R52" i="23" s="1"/>
  <c r="S52" i="23" s="1"/>
  <c r="O60" i="23"/>
  <c r="P60" i="23" s="1"/>
  <c r="S60" i="23" s="1"/>
  <c r="D57" i="23"/>
  <c r="O57" i="23" s="1"/>
  <c r="P57" i="23" s="1"/>
  <c r="O62" i="23"/>
  <c r="P62" i="23" s="1"/>
  <c r="Q56" i="23"/>
  <c r="R56" i="23" s="1"/>
  <c r="S56" i="23" s="1"/>
  <c r="Q48" i="23"/>
  <c r="R48" i="23" s="1"/>
  <c r="S61" i="23"/>
  <c r="Q62" i="23"/>
  <c r="D49" i="23"/>
  <c r="O48" i="23"/>
  <c r="P48" i="23" s="1"/>
  <c r="S58" i="23"/>
  <c r="D54" i="23"/>
  <c r="O53" i="23"/>
  <c r="P53" i="23" s="1"/>
  <c r="N24" i="23"/>
  <c r="M24" i="23"/>
  <c r="N23" i="23"/>
  <c r="M23" i="23"/>
  <c r="Q53" i="23" l="1"/>
  <c r="R53" i="23" s="1"/>
  <c r="S53" i="23" s="1"/>
  <c r="P67" i="23"/>
  <c r="O68" i="23"/>
  <c r="P68" i="23" s="1"/>
  <c r="R67" i="23"/>
  <c r="Q68" i="23"/>
  <c r="R68" i="23" s="1"/>
  <c r="O63" i="23"/>
  <c r="O64" i="23" s="1"/>
  <c r="P64" i="23" s="1"/>
  <c r="Q57" i="23"/>
  <c r="R57" i="23" s="1"/>
  <c r="S57" i="23" s="1"/>
  <c r="Q49" i="23"/>
  <c r="R49" i="23" s="1"/>
  <c r="S48" i="23"/>
  <c r="P63" i="23"/>
  <c r="R62" i="23"/>
  <c r="S62" i="23" s="1"/>
  <c r="Q63" i="23"/>
  <c r="D50" i="23"/>
  <c r="O49" i="23"/>
  <c r="P49" i="23" s="1"/>
  <c r="Q54" i="23"/>
  <c r="R54" i="23" s="1"/>
  <c r="O54" i="23"/>
  <c r="P54" i="23" s="1"/>
  <c r="N22" i="23"/>
  <c r="M22" i="23"/>
  <c r="N21" i="23"/>
  <c r="M21" i="23"/>
  <c r="S67" i="23" l="1"/>
  <c r="S68" i="23"/>
  <c r="R63" i="23"/>
  <c r="S63" i="23" s="1"/>
  <c r="Q64" i="23"/>
  <c r="R64" i="23" s="1"/>
  <c r="S64" i="23" s="1"/>
  <c r="S49" i="23"/>
  <c r="O50" i="23"/>
  <c r="P50" i="23" s="1"/>
  <c r="Q50" i="23"/>
  <c r="R50" i="23" s="1"/>
  <c r="S54" i="23"/>
  <c r="N19" i="23"/>
  <c r="M19" i="23"/>
  <c r="N18" i="23"/>
  <c r="M18" i="23"/>
  <c r="N17" i="23"/>
  <c r="M17" i="23"/>
  <c r="N16" i="23"/>
  <c r="M16" i="23"/>
  <c r="S50" i="23" l="1"/>
  <c r="C31" i="23"/>
  <c r="C32" i="23"/>
  <c r="C33" i="23"/>
  <c r="C34" i="23"/>
  <c r="C35" i="23"/>
  <c r="C36" i="23"/>
  <c r="C37" i="23"/>
  <c r="C38" i="23"/>
  <c r="C39" i="23"/>
  <c r="C40" i="23"/>
  <c r="C41" i="23"/>
  <c r="C43" i="23"/>
  <c r="C44" i="23"/>
  <c r="C45" i="23"/>
  <c r="B10" i="23"/>
  <c r="H10" i="22"/>
  <c r="B11" i="23" l="1"/>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3" i="23"/>
  <c r="B44" i="23"/>
  <c r="B45" i="23"/>
  <c r="D10" i="23"/>
  <c r="K17" i="22"/>
  <c r="L17" i="22" s="1"/>
  <c r="H17" i="22"/>
  <c r="I17" i="22" s="1"/>
  <c r="K16" i="22"/>
  <c r="L16" i="22" s="1"/>
  <c r="M16" i="22" s="1"/>
  <c r="H16" i="22"/>
  <c r="I16" i="22" s="1"/>
  <c r="K15" i="22"/>
  <c r="L15" i="22" s="1"/>
  <c r="M15" i="22" s="1"/>
  <c r="H15" i="22"/>
  <c r="K14" i="22"/>
  <c r="L14" i="22" s="1"/>
  <c r="H14" i="22"/>
  <c r="I14" i="22" s="1"/>
  <c r="K13" i="22"/>
  <c r="L13" i="22" s="1"/>
  <c r="H13" i="22"/>
  <c r="I13" i="22" s="1"/>
  <c r="K12" i="22"/>
  <c r="L12" i="22" s="1"/>
  <c r="H12" i="22"/>
  <c r="I12" i="22" s="1"/>
  <c r="K11" i="22"/>
  <c r="L11" i="22" s="1"/>
  <c r="H11" i="22"/>
  <c r="I11" i="22" s="1"/>
  <c r="K10" i="22"/>
  <c r="L10" i="22" s="1"/>
  <c r="V27" i="18" s="1"/>
  <c r="I10" i="22"/>
  <c r="AD19" i="18" l="1"/>
  <c r="N35" i="18"/>
  <c r="L23" i="18"/>
  <c r="P35" i="18"/>
  <c r="AB35" i="18"/>
  <c r="P13" i="18"/>
  <c r="X25" i="18"/>
  <c r="X35" i="18"/>
  <c r="AH19" i="18"/>
  <c r="L37" i="18"/>
  <c r="Z11" i="18"/>
  <c r="AB25" i="18"/>
  <c r="AJ37" i="18"/>
  <c r="J11" i="18"/>
  <c r="Z17" i="18"/>
  <c r="AB31" i="18"/>
  <c r="T19" i="18"/>
  <c r="AH11" i="18"/>
  <c r="AL17" i="18"/>
  <c r="J37" i="18"/>
  <c r="AF31" i="18"/>
  <c r="Z31" i="18"/>
  <c r="AH17" i="18"/>
  <c r="N23" i="18"/>
  <c r="P37" i="18"/>
  <c r="AB19" i="18"/>
  <c r="AJ31" i="18"/>
  <c r="P23" i="18"/>
  <c r="AL23" i="18"/>
  <c r="L13" i="18"/>
  <c r="V23" i="18"/>
  <c r="AL29" i="18"/>
  <c r="L19" i="18"/>
  <c r="P29" i="18"/>
  <c r="T35" i="18"/>
  <c r="X19" i="18"/>
  <c r="AH35" i="18"/>
  <c r="P19" i="18"/>
  <c r="X31" i="18"/>
  <c r="Z35" i="18"/>
  <c r="L9" i="18"/>
  <c r="R9" i="18"/>
  <c r="T9" i="18"/>
  <c r="AL31" i="18"/>
  <c r="X9" i="18"/>
  <c r="L27" i="18"/>
  <c r="Z9" i="18"/>
  <c r="AL21" i="18"/>
  <c r="P11" i="18"/>
  <c r="AB23" i="18"/>
  <c r="L11" i="18"/>
  <c r="X23" i="18"/>
  <c r="AJ35" i="18"/>
  <c r="T23" i="18"/>
  <c r="AF35" i="18"/>
  <c r="J25" i="18"/>
  <c r="V37" i="18"/>
  <c r="AJ19" i="18"/>
  <c r="R37" i="18"/>
  <c r="AF19" i="18"/>
  <c r="N37" i="18"/>
  <c r="Z19" i="18"/>
  <c r="AD9" i="18"/>
  <c r="R27" i="18"/>
  <c r="AF9" i="18"/>
  <c r="N27" i="18"/>
  <c r="V11" i="18"/>
  <c r="AH23" i="18"/>
  <c r="R11" i="18"/>
  <c r="AD23" i="18"/>
  <c r="N11" i="18"/>
  <c r="Z23" i="18"/>
  <c r="AL35" i="18"/>
  <c r="P25" i="18"/>
  <c r="AB37" i="18"/>
  <c r="L25" i="18"/>
  <c r="X37" i="18"/>
  <c r="AL19" i="18"/>
  <c r="T37" i="18"/>
  <c r="N9" i="18"/>
  <c r="AL33" i="18"/>
  <c r="AJ21" i="18"/>
  <c r="AF21" i="18"/>
  <c r="R23" i="18"/>
  <c r="AD35" i="18"/>
  <c r="AJ9" i="18"/>
  <c r="X27" i="18"/>
  <c r="AL9" i="18"/>
  <c r="T27" i="18"/>
  <c r="AB11" i="18"/>
  <c r="J29" i="18"/>
  <c r="X11" i="18"/>
  <c r="AJ23" i="18"/>
  <c r="T11" i="18"/>
  <c r="AF23" i="18"/>
  <c r="J13" i="18"/>
  <c r="V25" i="18"/>
  <c r="AH37" i="18"/>
  <c r="R25" i="18"/>
  <c r="AD37" i="18"/>
  <c r="N25" i="18"/>
  <c r="Z37" i="18"/>
  <c r="AF37" i="18"/>
  <c r="L29" i="18"/>
  <c r="T25" i="18"/>
  <c r="X15" i="18"/>
  <c r="AJ27" i="18"/>
  <c r="T15" i="18"/>
  <c r="AF27" i="18"/>
  <c r="J17" i="18"/>
  <c r="V29" i="18"/>
  <c r="AJ11" i="18"/>
  <c r="R29" i="18"/>
  <c r="AF11" i="18"/>
  <c r="N29" i="18"/>
  <c r="V13" i="18"/>
  <c r="AH25" i="18"/>
  <c r="R13" i="18"/>
  <c r="AD25" i="18"/>
  <c r="N13" i="18"/>
  <c r="Z25" i="18"/>
  <c r="AL37" i="18"/>
  <c r="AD15" i="18"/>
  <c r="L33" i="18"/>
  <c r="Z15" i="18"/>
  <c r="AL27" i="18"/>
  <c r="P17" i="18"/>
  <c r="AB29" i="18"/>
  <c r="L17" i="18"/>
  <c r="X29" i="18"/>
  <c r="AL11" i="18"/>
  <c r="T29" i="18"/>
  <c r="AB13" i="18"/>
  <c r="J31" i="18"/>
  <c r="X13" i="18"/>
  <c r="AJ25" i="18"/>
  <c r="T13" i="18"/>
  <c r="AF25" i="18"/>
  <c r="R15" i="18"/>
  <c r="N15" i="18"/>
  <c r="Z27" i="18"/>
  <c r="AD11" i="18"/>
  <c r="AJ15" i="18"/>
  <c r="R33" i="18"/>
  <c r="AF15" i="18"/>
  <c r="N33" i="18"/>
  <c r="V17" i="18"/>
  <c r="AH29" i="18"/>
  <c r="R17" i="18"/>
  <c r="AD29" i="18"/>
  <c r="N17" i="18"/>
  <c r="Z29" i="18"/>
  <c r="AH13" i="18"/>
  <c r="P31" i="18"/>
  <c r="AD13" i="18"/>
  <c r="L31" i="18"/>
  <c r="Z13" i="18"/>
  <c r="AL25" i="18"/>
  <c r="AD21" i="18"/>
  <c r="Z21" i="18"/>
  <c r="AD27" i="18"/>
  <c r="L21" i="18"/>
  <c r="X33" i="18"/>
  <c r="AL15" i="18"/>
  <c r="T33" i="18"/>
  <c r="AB17" i="18"/>
  <c r="J35" i="18"/>
  <c r="X17" i="18"/>
  <c r="AJ29" i="18"/>
  <c r="T17" i="18"/>
  <c r="AF29" i="18"/>
  <c r="J19" i="18"/>
  <c r="V31" i="18"/>
  <c r="AJ13" i="18"/>
  <c r="R31" i="18"/>
  <c r="AF13" i="18"/>
  <c r="N31" i="18"/>
  <c r="T31" i="18"/>
  <c r="R21" i="18"/>
  <c r="AD33" i="18"/>
  <c r="N21" i="18"/>
  <c r="Z33" i="18"/>
  <c r="AD17" i="18"/>
  <c r="L35" i="18"/>
  <c r="AL13" i="18"/>
  <c r="L15" i="18"/>
  <c r="X21" i="18"/>
  <c r="AJ33" i="18"/>
  <c r="T21" i="18"/>
  <c r="AF33" i="18"/>
  <c r="J23" i="18"/>
  <c r="V35" i="18"/>
  <c r="AJ17" i="18"/>
  <c r="R35" i="18"/>
  <c r="AF17" i="18"/>
  <c r="V19" i="18"/>
  <c r="AH31" i="18"/>
  <c r="R19" i="18"/>
  <c r="AD31" i="18"/>
  <c r="N19" i="18"/>
  <c r="V9" i="18"/>
  <c r="AH21" i="18"/>
  <c r="V15" i="18"/>
  <c r="AH27" i="18"/>
  <c r="P15" i="18"/>
  <c r="V21" i="18"/>
  <c r="AH33" i="18"/>
  <c r="J9" i="18"/>
  <c r="J15" i="18"/>
  <c r="V33" i="18"/>
  <c r="J21" i="18"/>
  <c r="J27" i="18"/>
  <c r="J33" i="18"/>
  <c r="AB21" i="18"/>
  <c r="P33" i="18"/>
  <c r="AB15" i="18"/>
  <c r="AH9" i="18"/>
  <c r="AB33" i="18"/>
  <c r="AB27" i="18"/>
  <c r="P27" i="18"/>
  <c r="AB9" i="18"/>
  <c r="P21" i="18"/>
  <c r="P9" i="18"/>
  <c r="AH15" i="18"/>
  <c r="D20" i="23"/>
  <c r="D11" i="23"/>
  <c r="O10" i="23"/>
  <c r="M17" i="22"/>
  <c r="N17" i="22"/>
  <c r="N16" i="22"/>
  <c r="N15" i="22"/>
  <c r="M13" i="22"/>
  <c r="N13" i="22"/>
  <c r="N14" i="22"/>
  <c r="C20" i="23" s="1"/>
  <c r="M14" i="22"/>
  <c r="I15" i="22"/>
  <c r="N11" i="22"/>
  <c r="M11" i="22"/>
  <c r="N10" i="22"/>
  <c r="M10" i="22"/>
  <c r="Q10" i="23" s="1"/>
  <c r="M12" i="22"/>
  <c r="N12" i="22"/>
  <c r="C16" i="23" l="1"/>
  <c r="C18" i="23"/>
  <c r="C19" i="23"/>
  <c r="C17" i="23"/>
  <c r="C10" i="23"/>
  <c r="C11" i="23"/>
  <c r="C12" i="23"/>
  <c r="C13" i="23"/>
  <c r="C23" i="23"/>
  <c r="C24" i="23"/>
  <c r="C30" i="23"/>
  <c r="C28" i="23"/>
  <c r="C29" i="23"/>
  <c r="C14" i="23"/>
  <c r="C15" i="23"/>
  <c r="C25" i="23"/>
  <c r="C26" i="23"/>
  <c r="C27" i="23"/>
  <c r="C22" i="23"/>
  <c r="C21" i="23"/>
  <c r="Q20" i="23"/>
  <c r="O20" i="23"/>
  <c r="D21" i="23"/>
  <c r="D22" i="23" s="1"/>
  <c r="D23" i="23"/>
  <c r="Q11" i="23"/>
  <c r="D12" i="23"/>
  <c r="O11" i="23"/>
  <c r="P10" i="23"/>
  <c r="R10" i="23"/>
  <c r="O23" i="23" l="1"/>
  <c r="Q23" i="23"/>
  <c r="Q21" i="23"/>
  <c r="Q22" i="23" s="1"/>
  <c r="O21" i="23"/>
  <c r="O22" i="23" s="1"/>
  <c r="P11" i="23"/>
  <c r="R11" i="23"/>
  <c r="D24" i="23"/>
  <c r="Q12" i="23"/>
  <c r="R12" i="23" s="1"/>
  <c r="D13" i="23"/>
  <c r="O12" i="23"/>
  <c r="P12" i="23" s="1"/>
  <c r="S10" i="23"/>
  <c r="Q24" i="23" l="1"/>
  <c r="O24" i="23"/>
  <c r="S11" i="23"/>
  <c r="D25" i="23"/>
  <c r="S12" i="23"/>
  <c r="Q13" i="23"/>
  <c r="R13" i="23" s="1"/>
  <c r="D14" i="23"/>
  <c r="D15" i="23" s="1"/>
  <c r="O13" i="23"/>
  <c r="Q25" i="23" l="1"/>
  <c r="O25" i="23"/>
  <c r="D16" i="23"/>
  <c r="D17" i="23" s="1"/>
  <c r="D18" i="23" s="1"/>
  <c r="D19" i="23" s="1"/>
  <c r="P13" i="23"/>
  <c r="S13" i="23" s="1"/>
  <c r="D26" i="23"/>
  <c r="Q14" i="23"/>
  <c r="Q15" i="23" s="1"/>
  <c r="R15" i="23" s="1"/>
  <c r="O14" i="23"/>
  <c r="P14" i="23" s="1"/>
  <c r="Q26" i="23" l="1"/>
  <c r="O26" i="23"/>
  <c r="Q16" i="23"/>
  <c r="O15" i="23"/>
  <c r="P15" i="23" s="1"/>
  <c r="S15" i="23" s="1"/>
  <c r="R14" i="23"/>
  <c r="S14" i="23" s="1"/>
  <c r="D27" i="23"/>
  <c r="Q27" i="23" l="1"/>
  <c r="O27" i="23"/>
  <c r="Q17" i="23"/>
  <c r="R16" i="23"/>
  <c r="O16" i="23"/>
  <c r="D28" i="23"/>
  <c r="Q28" i="23" l="1"/>
  <c r="O28" i="23"/>
  <c r="R17" i="23"/>
  <c r="Q18" i="23"/>
  <c r="P16" i="23"/>
  <c r="S16" i="23" s="1"/>
  <c r="O17" i="23"/>
  <c r="D29" i="23"/>
  <c r="Q29" i="23" l="1"/>
  <c r="O29" i="23"/>
  <c r="P17" i="23"/>
  <c r="S17" i="23" s="1"/>
  <c r="O18" i="23"/>
  <c r="Q19" i="23"/>
  <c r="R19" i="23" s="1"/>
  <c r="R18" i="23"/>
  <c r="D30" i="23"/>
  <c r="R20" i="23"/>
  <c r="Q30" i="23" l="1"/>
  <c r="O30" i="23"/>
  <c r="O19" i="23"/>
  <c r="P19" i="23" s="1"/>
  <c r="S19" i="23" s="1"/>
  <c r="P18" i="23"/>
  <c r="S18" i="23" s="1"/>
  <c r="D31" i="23"/>
  <c r="R21" i="23"/>
  <c r="P20" i="23"/>
  <c r="S20" i="23" s="1"/>
  <c r="F225" i="13"/>
  <c r="F215" i="13"/>
  <c r="F216" i="13"/>
  <c r="F217" i="13"/>
  <c r="F218" i="13"/>
  <c r="F219" i="13"/>
  <c r="F220" i="13"/>
  <c r="F221" i="13"/>
  <c r="F222" i="13"/>
  <c r="F223" i="13"/>
  <c r="F224" i="13"/>
  <c r="F214" i="13"/>
  <c r="B225" i="13" a="1"/>
  <c r="O31" i="23" l="1"/>
  <c r="Q31" i="23"/>
  <c r="D32" i="23"/>
  <c r="R22" i="23"/>
  <c r="P21" i="23"/>
  <c r="S21" i="23" s="1"/>
  <c r="B225" i="13"/>
  <c r="Q32" i="23" l="1"/>
  <c r="O32" i="23"/>
  <c r="D33" i="23"/>
  <c r="R23" i="23"/>
  <c r="P22" i="23"/>
  <c r="S22" i="23" s="1"/>
  <c r="H214" i="13"/>
  <c r="Q33" i="23" l="1"/>
  <c r="O33" i="23"/>
  <c r="D34" i="23"/>
  <c r="R24" i="23"/>
  <c r="P23" i="23"/>
  <c r="S23" i="23" s="1"/>
  <c r="Q34" i="23" l="1"/>
  <c r="O34" i="23"/>
  <c r="D35" i="23"/>
  <c r="R25" i="23"/>
  <c r="P24" i="23"/>
  <c r="S24" i="23" s="1"/>
  <c r="Q35" i="23" l="1"/>
  <c r="O35" i="23"/>
  <c r="D36" i="23"/>
  <c r="R26" i="23"/>
  <c r="P25" i="23"/>
  <c r="S25" i="23" s="1"/>
  <c r="O36" i="23" l="1"/>
  <c r="Q36" i="23"/>
  <c r="D37" i="23"/>
  <c r="R27" i="23"/>
  <c r="P26" i="23"/>
  <c r="S26" i="23" s="1"/>
  <c r="Q37" i="23" l="1"/>
  <c r="O37" i="23"/>
  <c r="D38" i="23"/>
  <c r="R28" i="23"/>
  <c r="P27" i="23"/>
  <c r="S27" i="23" s="1"/>
  <c r="Q38" i="23" l="1"/>
  <c r="O38" i="23"/>
  <c r="D39" i="23"/>
  <c r="R29" i="23"/>
  <c r="P28" i="23"/>
  <c r="S28" i="23" s="1"/>
  <c r="Q39" i="23" l="1"/>
  <c r="O39" i="23"/>
  <c r="D40" i="23"/>
  <c r="R30" i="23"/>
  <c r="P29" i="23"/>
  <c r="S29" i="23" s="1"/>
  <c r="Q40" i="23" l="1"/>
  <c r="O40" i="23"/>
  <c r="D41" i="23"/>
  <c r="R31" i="23"/>
  <c r="P30" i="23"/>
  <c r="S30" i="23" s="1"/>
  <c r="Q41" i="23" l="1"/>
  <c r="O41" i="23"/>
  <c r="D42" i="23"/>
  <c r="R32" i="23"/>
  <c r="P31" i="23"/>
  <c r="S31" i="23" s="1"/>
  <c r="Q42" i="23" l="1"/>
  <c r="O42" i="23"/>
  <c r="D43" i="23"/>
  <c r="R33" i="23"/>
  <c r="P32" i="23"/>
  <c r="S32" i="23" s="1"/>
  <c r="O43" i="23" l="1"/>
  <c r="Q43" i="23"/>
  <c r="D44" i="23"/>
  <c r="R34" i="23"/>
  <c r="P33" i="23"/>
  <c r="S33" i="23" s="1"/>
  <c r="Q44" i="23" l="1"/>
  <c r="O44" i="23"/>
  <c r="D45" i="23"/>
  <c r="D46" i="23" s="1"/>
  <c r="R35" i="23"/>
  <c r="P34" i="23"/>
  <c r="S34" i="23" s="1"/>
  <c r="Q45" i="23" l="1"/>
  <c r="Q46" i="23" s="1"/>
  <c r="R46" i="23" s="1"/>
  <c r="O45" i="23"/>
  <c r="O46" i="23" s="1"/>
  <c r="P46" i="23" s="1"/>
  <c r="R36" i="23"/>
  <c r="P35" i="23"/>
  <c r="S35" i="23" s="1"/>
  <c r="S46" i="23" l="1"/>
  <c r="R37" i="23"/>
  <c r="P36" i="23"/>
  <c r="S36" i="23" s="1"/>
  <c r="R38" i="23" l="1"/>
  <c r="P37" i="23"/>
  <c r="S37" i="23" s="1"/>
  <c r="R39" i="23" l="1"/>
  <c r="P38" i="23"/>
  <c r="S38" i="23" s="1"/>
  <c r="R40" i="23" l="1"/>
  <c r="P39" i="23"/>
  <c r="S39" i="23" s="1"/>
  <c r="R41" i="23" l="1"/>
  <c r="P40" i="23"/>
  <c r="S40" i="23" s="1"/>
  <c r="R42" i="23" l="1"/>
  <c r="P41" i="23"/>
  <c r="S41" i="23" s="1"/>
  <c r="R43" i="23" l="1"/>
  <c r="P42" i="23"/>
  <c r="S42" i="23" s="1"/>
  <c r="R44" i="23" l="1"/>
  <c r="P43" i="23"/>
  <c r="S43" i="23" s="1"/>
  <c r="R45" i="23" l="1"/>
  <c r="P45" i="23"/>
  <c r="P44" i="23"/>
  <c r="S44" i="23" s="1"/>
  <c r="S45" i="23" l="1"/>
  <c r="B227" i="13"/>
  <c r="B22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miguel vergara</author>
  </authors>
  <commentList>
    <comment ref="O8" authorId="0" shapeId="0" xr:uid="{E3ED222C-3F81-4B48-9E7A-8D59BF9C03CD}">
      <text>
        <r>
          <rPr>
            <b/>
            <sz val="9"/>
            <color indexed="81"/>
            <rFont val="Tahoma"/>
            <family val="2"/>
          </rPr>
          <t>jose miguel vergara:</t>
        </r>
        <r>
          <rPr>
            <sz val="9"/>
            <color indexed="81"/>
            <rFont val="Tahoma"/>
            <family val="2"/>
          </rPr>
          <t xml:space="preserve">
Ocultar</t>
        </r>
      </text>
    </comment>
    <comment ref="Q8" authorId="0" shapeId="0" xr:uid="{E12DF1B4-98B5-4868-A25E-90CDC52B77EE}">
      <text>
        <r>
          <rPr>
            <b/>
            <sz val="9"/>
            <color indexed="81"/>
            <rFont val="Tahoma"/>
            <family val="2"/>
          </rPr>
          <t>jose miguel vergara:</t>
        </r>
        <r>
          <rPr>
            <sz val="9"/>
            <color indexed="81"/>
            <rFont val="Tahoma"/>
            <family val="2"/>
          </rPr>
          <t xml:space="preserve">
Ocultar</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<sst xmlns="http://schemas.openxmlformats.org/spreadsheetml/2006/main" count="1074" uniqueCount="418">
  <si>
    <t xml:space="preserve">Referencia </t>
  </si>
  <si>
    <t>Descripción del Riesgo</t>
  </si>
  <si>
    <t>Impacto</t>
  </si>
  <si>
    <t>Causa Inmediata</t>
  </si>
  <si>
    <t>Probabilidad</t>
  </si>
  <si>
    <t>%</t>
  </si>
  <si>
    <t>Alta</t>
  </si>
  <si>
    <t>Mayor</t>
  </si>
  <si>
    <t>Atributos</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</si>
  <si>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</si>
  <si>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</si>
  <si>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</si>
  <si>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</si>
  <si>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</si>
  <si>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</si>
  <si>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</si>
  <si>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</si>
  <si>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</si>
  <si>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</si>
  <si>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</si>
  <si>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</si>
  <si>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</si>
  <si>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</si>
  <si>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</si>
  <si>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</si>
  <si>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</si>
  <si>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</si>
  <si>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Tratamiento</t>
  </si>
  <si>
    <t>Reducir</t>
  </si>
  <si>
    <t>Aceptar</t>
  </si>
  <si>
    <t>Evitar</t>
  </si>
  <si>
    <t>Probabilidad Inherente</t>
  </si>
  <si>
    <t>Estado</t>
  </si>
  <si>
    <t>Finalizado</t>
  </si>
  <si>
    <t>En curso</t>
  </si>
  <si>
    <t>Causa Raíz</t>
  </si>
  <si>
    <t>Proceso:</t>
  </si>
  <si>
    <t>Alcance:</t>
  </si>
  <si>
    <t>Impacto 
Inherente</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</si>
  <si>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</si>
  <si>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</si>
  <si>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</si>
  <si>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</si>
  <si>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</si>
  <si>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</si>
  <si>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</si>
  <si>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</si>
  <si>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</si>
  <si>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</si>
  <si>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</si>
  <si>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</si>
  <si>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</si>
  <si>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</si>
  <si>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</si>
  <si>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</si>
  <si>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</si>
  <si>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</si>
  <si>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</si>
  <si>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</si>
  <si>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</si>
  <si>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</si>
  <si>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</si>
  <si>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</si>
  <si>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</si>
  <si>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</si>
  <si>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</si>
  <si>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</si>
  <si>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</si>
  <si>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</si>
  <si>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</si>
  <si>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</si>
  <si>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</si>
  <si>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</si>
  <si>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</si>
  <si>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</si>
  <si>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</si>
  <si>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</si>
  <si>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</si>
  <si>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</si>
  <si>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</si>
  <si>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</si>
  <si>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</si>
  <si>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</si>
  <si>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</si>
  <si>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</si>
  <si>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</si>
  <si>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</si>
  <si>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</si>
  <si>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</si>
  <si>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</si>
  <si>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</si>
  <si>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</si>
  <si>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</si>
  <si>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</si>
  <si>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</si>
  <si>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</si>
  <si>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</si>
  <si>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</si>
  <si>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</si>
  <si>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</si>
  <si>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</si>
  <si>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</si>
  <si>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</si>
  <si>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</si>
  <si>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</si>
  <si>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</si>
  <si>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</si>
  <si>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</si>
  <si>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</si>
  <si>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</si>
  <si>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</si>
  <si>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</si>
  <si>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</si>
  <si>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</si>
  <si>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</si>
  <si>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</si>
  <si>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</si>
  <si>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</si>
  <si>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</si>
  <si>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</si>
  <si>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</si>
  <si>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</si>
  <si>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</si>
  <si>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</si>
  <si>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Reducir (mitigar)</t>
  </si>
  <si>
    <t>Reducir (compartir)</t>
  </si>
  <si>
    <t>Probabilidad Residual</t>
  </si>
  <si>
    <t>Identificación del riesgo</t>
  </si>
  <si>
    <t>Análisis del riesgo inherente</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</si>
  <si>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</si>
  <si>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</si>
  <si>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</si>
  <si>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</si>
  <si>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</si>
  <si>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</si>
  <si>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</si>
  <si>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</si>
  <si>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</si>
  <si>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</si>
  <si>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</si>
  <si>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</si>
  <si>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</si>
  <si>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</si>
  <si>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</si>
  <si>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</si>
  <si>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</si>
  <si>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</si>
  <si>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</si>
  <si>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</si>
  <si>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</si>
  <si>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</si>
  <si>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</si>
  <si>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</si>
  <si>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</si>
  <si>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</si>
  <si>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</si>
  <si>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</si>
  <si>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</si>
  <si>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</si>
  <si>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</si>
  <si>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</si>
  <si>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</si>
  <si>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</si>
  <si>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</si>
  <si>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</si>
  <si>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</si>
  <si>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</si>
  <si>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</si>
  <si>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</si>
  <si>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</si>
  <si>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</si>
  <si>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</si>
  <si>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</si>
  <si>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</si>
  <si>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</si>
  <si>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</si>
  <si>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</si>
  <si>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</si>
  <si>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</si>
  <si>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</si>
  <si>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</si>
  <si>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</si>
  <si>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</si>
  <si>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</si>
  <si>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</si>
  <si>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</si>
  <si>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</si>
  <si>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</si>
  <si>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</si>
  <si>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</si>
  <si>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</si>
  <si>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UNIVERSIDAD DE CÓRDOBA</t>
  </si>
  <si>
    <t>MATRIZ MAPA DE RIESGOS</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</si>
  <si>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</si>
  <si>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r>
      <t xml:space="preserve">Antes de iniciar con el diligenciamiento de la información en la matriz, se requiere haber avanzado en el análisis del proceso, su objetivo, alcance, actividades clave,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</si>
  <si>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rPr>
        <sz val="10"/>
        <color theme="9" tint="-0.249977111117893"/>
        <rFont val="Arial Narrow"/>
        <family val="2"/>
      </rPr>
      <t xml:space="preserve"> -</t>
    </r>
    <r>
      <rPr>
        <sz val="11"/>
        <color theme="9" tint="-0.249977111117893"/>
        <rFont val="Arial Narrow"/>
        <family val="2"/>
      </rPr>
      <t xml:space="preserve"> </t>
    </r>
    <r>
      <rPr>
        <b/>
        <sz val="11"/>
        <color theme="9" tint="-0.249977111117893"/>
        <rFont val="Arial Narrow"/>
        <family val="2"/>
      </rPr>
      <t xml:space="preserve"> Hoja 3 Matriz de Calor Inherente:</t>
    </r>
    <r>
      <rPr>
        <b/>
        <sz val="11"/>
        <rFont val="Arial Narrow"/>
        <family val="2"/>
      </rPr>
      <t xml:space="preserve"> </t>
    </r>
    <r>
      <rPr>
        <sz val="11"/>
        <rFont val="Arial Narrow"/>
        <family val="2"/>
      </rPr>
      <t xml:space="preserve"> En esta hoja, en la medida en que ese diligencia el Mapa Final, se verán reflejados los riesgos en su zona correspondiente. Esta hoja no se diligencia se genera de manera automática.</t>
    </r>
  </si>
  <si>
    <r>
      <rPr>
        <sz val="10"/>
        <color theme="9" tint="-0.249977111117893"/>
        <rFont val="Arial Narrow"/>
        <family val="2"/>
      </rPr>
      <t xml:space="preserve"> -</t>
    </r>
    <r>
      <rPr>
        <sz val="11"/>
        <color theme="9" tint="-0.249977111117893"/>
        <rFont val="Arial Narrow"/>
        <family val="2"/>
      </rPr>
      <t xml:space="preserve"> </t>
    </r>
    <r>
      <rPr>
        <b/>
        <sz val="11"/>
        <color theme="9" tint="-0.249977111117893"/>
        <rFont val="Arial Narrow"/>
        <family val="2"/>
      </rPr>
      <t xml:space="preserve"> Hoja 4 Matriz de Calor Residual:</t>
    </r>
    <r>
      <rPr>
        <b/>
        <sz val="11"/>
        <rFont val="Arial Narrow"/>
        <family val="2"/>
      </rPr>
      <t xml:space="preserve"> </t>
    </r>
    <r>
      <rPr>
        <sz val="11"/>
        <rFont val="Arial Narrow"/>
        <family val="2"/>
      </rPr>
      <t>En esta hoja, en la medida en que ese diligencia el Mapa Final, se verán reflejados los riesgos en su zona correspondiente. Esta hoja no se diligencia se genera de manera automática.</t>
    </r>
  </si>
  <si>
    <r>
      <rPr>
        <sz val="10"/>
        <color theme="9" tint="-0.249977111117893"/>
        <rFont val="Arial Narrow"/>
        <family val="2"/>
      </rPr>
      <t xml:space="preserve"> -</t>
    </r>
    <r>
      <rPr>
        <sz val="11"/>
        <color theme="9" tint="-0.249977111117893"/>
        <rFont val="Arial Narrow"/>
        <family val="2"/>
      </rPr>
      <t xml:space="preserve"> </t>
    </r>
    <r>
      <rPr>
        <b/>
        <sz val="11"/>
        <color theme="9" tint="-0.249977111117893"/>
        <rFont val="Arial Narrow"/>
        <family val="2"/>
      </rPr>
      <t xml:space="preserve"> Hoja 5 Tabla de probabilidad:</t>
    </r>
    <r>
      <rPr>
        <b/>
        <sz val="11"/>
        <rFont val="Arial Narrow"/>
        <family val="2"/>
      </rPr>
      <t xml:space="preserve"> </t>
    </r>
    <r>
      <rPr>
        <sz val="11"/>
        <rFont val="Arial Narrow"/>
        <family val="2"/>
      </rPr>
      <t>Tabla referente para todos los cálculos (no se diligencia)</t>
    </r>
  </si>
  <si>
    <r>
      <rPr>
        <sz val="10"/>
        <color theme="9" tint="-0.249977111117893"/>
        <rFont val="Arial Narrow"/>
        <family val="2"/>
      </rPr>
      <t xml:space="preserve"> -</t>
    </r>
    <r>
      <rPr>
        <sz val="11"/>
        <color theme="9" tint="-0.249977111117893"/>
        <rFont val="Arial Narrow"/>
        <family val="2"/>
      </rPr>
      <t xml:space="preserve"> </t>
    </r>
    <r>
      <rPr>
        <b/>
        <sz val="11"/>
        <color theme="9" tint="-0.249977111117893"/>
        <rFont val="Arial Narrow"/>
        <family val="2"/>
      </rPr>
      <t xml:space="preserve"> Hoja 6 Tabla de Impacto:</t>
    </r>
    <r>
      <rPr>
        <b/>
        <sz val="11"/>
        <rFont val="Arial Narrow"/>
        <family val="2"/>
      </rPr>
      <t xml:space="preserve"> </t>
    </r>
    <r>
      <rPr>
        <sz val="11"/>
        <rFont val="Arial Narrow"/>
        <family val="2"/>
      </rPr>
      <t>Tabla referente para todos los cálculos (no se diligencia)</t>
    </r>
  </si>
  <si>
    <r>
      <rPr>
        <sz val="10"/>
        <color theme="9" tint="-0.249977111117893"/>
        <rFont val="Arial Narrow"/>
        <family val="2"/>
      </rPr>
      <t xml:space="preserve"> -</t>
    </r>
    <r>
      <rPr>
        <sz val="11"/>
        <color theme="9" tint="-0.249977111117893"/>
        <rFont val="Arial Narrow"/>
        <family val="2"/>
      </rPr>
      <t xml:space="preserve"> </t>
    </r>
    <r>
      <rPr>
        <b/>
        <sz val="11"/>
        <color theme="9" tint="-0.249977111117893"/>
        <rFont val="Arial Narrow"/>
        <family val="2"/>
      </rPr>
      <t xml:space="preserve"> Hoja 7 Tabla de Valoración de Controles:</t>
    </r>
    <r>
      <rPr>
        <b/>
        <sz val="11"/>
        <rFont val="Arial Narrow"/>
        <family val="2"/>
      </rPr>
      <t xml:space="preserve"> </t>
    </r>
    <r>
      <rPr>
        <sz val="11"/>
        <rFont val="Arial Narrow"/>
        <family val="2"/>
      </rPr>
      <t>Tabla referente para todos los cálculos (no se diligencia)</t>
    </r>
  </si>
  <si>
    <t>Afectación Económica o presupuestal - No seleccionar</t>
  </si>
  <si>
    <t>Pérdida Reputacional - No seleccionar</t>
  </si>
  <si>
    <t>Fecha elaboración</t>
  </si>
  <si>
    <r>
      <rPr>
        <b/>
        <sz val="11"/>
        <color theme="1"/>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</si>
  <si>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Componente que afecta</t>
  </si>
  <si>
    <t>Impacto residual</t>
  </si>
  <si>
    <t>Valoración de controles</t>
  </si>
  <si>
    <t>Nivel de riesgo residual</t>
  </si>
  <si>
    <t>Zona probabilidad residual</t>
  </si>
  <si>
    <t xml:space="preserve">Zona Impacto Residual </t>
  </si>
  <si>
    <t>Nivel de afectación a riesgo</t>
  </si>
  <si>
    <t>Diaria</t>
  </si>
  <si>
    <t>Semanal</t>
  </si>
  <si>
    <t>Mensual</t>
  </si>
  <si>
    <t>Semestral</t>
  </si>
  <si>
    <t>Anual</t>
  </si>
  <si>
    <t>Trimestral</t>
  </si>
  <si>
    <t>Cuatrimestral</t>
  </si>
  <si>
    <r>
      <t xml:space="preserve">CÓDIGO: 
</t>
    </r>
    <r>
      <rPr>
        <sz val="11"/>
        <color theme="1"/>
        <rFont val="Tahoma"/>
        <family val="2"/>
      </rPr>
      <t>FMAM-013</t>
    </r>
    <r>
      <rPr>
        <b/>
        <sz val="11"/>
        <color theme="1"/>
        <rFont val="Tahoma"/>
        <family val="2"/>
      </rPr>
      <t xml:space="preserve">
VERSIÓN: </t>
    </r>
    <r>
      <rPr>
        <sz val="11"/>
        <color theme="1"/>
        <rFont val="Tahoma"/>
        <family val="2"/>
      </rPr>
      <t>06</t>
    </r>
    <r>
      <rPr>
        <b/>
        <sz val="11"/>
        <color theme="1"/>
        <rFont val="Tahoma"/>
        <family val="2"/>
      </rPr>
      <t xml:space="preserve">
EMISIÓN:
</t>
    </r>
    <r>
      <rPr>
        <sz val="11"/>
        <color theme="1"/>
        <rFont val="Tahoma"/>
        <family val="2"/>
      </rPr>
      <t>05/12/2023</t>
    </r>
  </si>
  <si>
    <t>Frecuencia con la cual se realiza la actividad
-
Diligencie este campo</t>
  </si>
  <si>
    <t>Criterios de impacto
-
Diligencie este campo</t>
  </si>
  <si>
    <t>Periodicidad
Ejemplo: Diario, Semanal, Mensual, etc.</t>
  </si>
  <si>
    <t>Evidencia
Ejemplo: Informe de revisión, Acta de reunión.</t>
  </si>
  <si>
    <t>Ref. Riesgo
- 
Seleccione un valor</t>
  </si>
  <si>
    <t>No. Control
-
No editable</t>
  </si>
  <si>
    <t>Descripción Riesgo
-
No editable</t>
  </si>
  <si>
    <t>Riesgo Inherente
-
No editable</t>
  </si>
  <si>
    <r>
      <t xml:space="preserve">CÓDIGO: 
</t>
    </r>
    <r>
      <rPr>
        <sz val="11"/>
        <color theme="1"/>
        <rFont val="Tahoma"/>
        <family val="2"/>
      </rPr>
      <t>FMAM-013</t>
    </r>
    <r>
      <rPr>
        <b/>
        <sz val="11"/>
        <color theme="1"/>
        <rFont val="Tahoma"/>
        <family val="2"/>
      </rPr>
      <t xml:space="preserve">
VERSIÓN: </t>
    </r>
    <r>
      <rPr>
        <sz val="11"/>
        <color theme="1"/>
        <rFont val="Tahoma"/>
        <family val="2"/>
      </rPr>
      <t>06</t>
    </r>
    <r>
      <rPr>
        <b/>
        <sz val="11"/>
        <color theme="1"/>
        <rFont val="Tahoma"/>
        <family val="2"/>
      </rPr>
      <t xml:space="preserve">
EMISIÓN:
12/12/2023</t>
    </r>
  </si>
  <si>
    <r>
      <rPr>
        <b/>
        <sz val="22"/>
        <color theme="1"/>
        <rFont val="Tahoma"/>
        <family val="2"/>
      </rPr>
      <t xml:space="preserve">CÓDIGO: </t>
    </r>
    <r>
      <rPr>
        <sz val="22"/>
        <color theme="1"/>
        <rFont val="Tahoma"/>
        <family val="2"/>
      </rPr>
      <t xml:space="preserve">
FMAM-013
</t>
    </r>
    <r>
      <rPr>
        <b/>
        <sz val="22"/>
        <color theme="1"/>
        <rFont val="Tahoma"/>
        <family val="2"/>
      </rPr>
      <t>VERSIÓN:</t>
    </r>
    <r>
      <rPr>
        <sz val="22"/>
        <color theme="1"/>
        <rFont val="Tahoma"/>
        <family val="2"/>
      </rPr>
      <t xml:space="preserve"> 06
</t>
    </r>
    <r>
      <rPr>
        <b/>
        <sz val="22"/>
        <color theme="1"/>
        <rFont val="Tahoma"/>
        <family val="2"/>
      </rPr>
      <t>EMISIÓN:</t>
    </r>
    <r>
      <rPr>
        <sz val="22"/>
        <color theme="1"/>
        <rFont val="Tahoma"/>
        <family val="2"/>
      </rPr>
      <t xml:space="preserve">
12/12/2023</t>
    </r>
  </si>
  <si>
    <r>
      <t xml:space="preserve">CÓDIGO: 
</t>
    </r>
    <r>
      <rPr>
        <sz val="10"/>
        <color theme="1"/>
        <rFont val="Tahoma"/>
        <family val="2"/>
      </rPr>
      <t>FMAM-013</t>
    </r>
    <r>
      <rPr>
        <b/>
        <sz val="10"/>
        <color theme="1"/>
        <rFont val="Tahoma"/>
        <family val="2"/>
      </rPr>
      <t xml:space="preserve">
VERSIÓN: </t>
    </r>
    <r>
      <rPr>
        <sz val="10"/>
        <color theme="1"/>
        <rFont val="Tahoma"/>
        <family val="2"/>
      </rPr>
      <t>06</t>
    </r>
    <r>
      <rPr>
        <b/>
        <sz val="10"/>
        <color theme="1"/>
        <rFont val="Tahoma"/>
        <family val="2"/>
      </rPr>
      <t xml:space="preserve">
EMISIÓN:
</t>
    </r>
    <r>
      <rPr>
        <sz val="10"/>
        <color theme="1"/>
        <rFont val="Tahoma"/>
        <family val="2"/>
      </rPr>
      <t>12/12/2023</t>
    </r>
  </si>
  <si>
    <r>
      <t xml:space="preserve">CÓDIGO: 
</t>
    </r>
    <r>
      <rPr>
        <sz val="9"/>
        <color theme="1"/>
        <rFont val="Tahoma"/>
        <family val="2"/>
      </rPr>
      <t>FMAM-013</t>
    </r>
    <r>
      <rPr>
        <b/>
        <sz val="9"/>
        <color theme="1"/>
        <rFont val="Tahoma"/>
        <family val="2"/>
      </rPr>
      <t xml:space="preserve">
VERSIÓN: </t>
    </r>
    <r>
      <rPr>
        <sz val="9"/>
        <color theme="1"/>
        <rFont val="Tahoma"/>
        <family val="2"/>
      </rPr>
      <t>06</t>
    </r>
    <r>
      <rPr>
        <b/>
        <sz val="9"/>
        <color theme="1"/>
        <rFont val="Tahoma"/>
        <family val="2"/>
      </rPr>
      <t xml:space="preserve">
EMISIÓN:
</t>
    </r>
    <r>
      <rPr>
        <sz val="9"/>
        <color theme="1"/>
        <rFont val="Tahoma"/>
        <family val="2"/>
      </rPr>
      <t>12/12/2023</t>
    </r>
  </si>
  <si>
    <r>
      <t xml:space="preserve">CÓDIGO: 
</t>
    </r>
    <r>
      <rPr>
        <sz val="10"/>
        <color theme="1"/>
        <rFont val="Tahoma"/>
        <family val="2"/>
      </rPr>
      <t>FMAM-013</t>
    </r>
    <r>
      <rPr>
        <b/>
        <sz val="10"/>
        <color theme="1"/>
        <rFont val="Tahoma"/>
        <family val="2"/>
      </rPr>
      <t xml:space="preserve">
VERSIÓN: </t>
    </r>
    <r>
      <rPr>
        <sz val="10"/>
        <color theme="1"/>
        <rFont val="Tahoma"/>
        <family val="2"/>
      </rPr>
      <t>06</t>
    </r>
    <r>
      <rPr>
        <b/>
        <sz val="10"/>
        <color theme="1"/>
        <rFont val="Tahoma"/>
        <family val="2"/>
      </rPr>
      <t xml:space="preserve">
EMISIÓN:
12/12/2023</t>
    </r>
  </si>
  <si>
    <t>Liquidar intencionalmente un pago laboral no debido a un servidor público o tercero en los procesos de nómina</t>
  </si>
  <si>
    <t>Tráfico de influencia, Amiguismo, clientelismo y/o soborno</t>
  </si>
  <si>
    <t>Uso inadecuado e indebido de información sensible manejada por el proceso para favorecer intereses de terceros</t>
  </si>
  <si>
    <t xml:space="preserve">Suministro de información a funcionarios internos sin la debida justificación del porque es requerida y/o entrega a personas externas a la institución sin autorización. </t>
  </si>
  <si>
    <t>Uso de la información que reposa en las historias laborales, bases de datos y software kactus, con fines diferentes a los institucionales para el beneficio personal o de terceros.</t>
  </si>
  <si>
    <t>Tráfico de influencia, amiguismo, clientelismo y/o soborno</t>
  </si>
  <si>
    <t xml:space="preserve">El Profesional de Talento Humano asignado para revisión de nómina, mensualmente  verifica la adecuada liquidación de la nomina del mes, revisando la nomina proyectada y comparandola con  las novedades recibidas y los salarios. </t>
  </si>
  <si>
    <t>Informe de revisión de nómina</t>
  </si>
  <si>
    <t>30%</t>
  </si>
  <si>
    <t xml:space="preserve">Cada vez que se realice de manera no intencional una mala liquidación y pago de la nómina a un funcionario de la institución, el profesional responsable de la nómina realiza los ajustes requeridos en la nómina del mes siguiente. </t>
  </si>
  <si>
    <t>Comprobante de nómina</t>
  </si>
  <si>
    <t>35%</t>
  </si>
  <si>
    <t>El profesional de sistemas de información cada vez que se reciba una solicitud de información sensible en la Oficina de Gestión de Talento Humano, corroborará y validará la finalidad de la información requerida para proceder a su suministro llevando un control de la información suministrada, en caso de no identificarse claramente en la solicitud recibida este proposito, devolverá a la dependencia solicitante con el fin de que se solicite nuevamente exponiendo la finalidad de la información requerida, dejando como evidencia la relación de suministro de información y correos de devolución de solicitudes( en caso de ser devueltas).</t>
  </si>
  <si>
    <t>relación de suministro de información y correos de devolución de solicitudes( en caso de ser devueltas).</t>
  </si>
  <si>
    <t>40%</t>
  </si>
  <si>
    <t xml:space="preserve">El profesional de selección, desarrollo humano y retiro cada vez que se vincule un profesional a dependencias que manejan información sensible tales como: Oficina de Gestión de Talento Humano, Oficina de Admisiones y Registro, Area fucnional de Archivo y Correspondencia, Oficina de Asuntos Jurídicos, Oficina de Contratación, Dirección de Asuntos Financieros, Oficina de Postgrados y la UAES; informa y verifica firma de acuerdo de confidencialidad por parte de dicho funcionario, una vez firmado remite este acuerdo a historia laboral para ser archivado. En caso de no firmarse este acuerdo, se levantará un acta en la que se informe el motivo por el cual no fue firmado por este funcionario dicho acuerdo. </t>
  </si>
  <si>
    <t>Acuerdos de confidencialidad firmados
Periodicidad del control: cuando se vincule un servidor público</t>
  </si>
  <si>
    <t>El profesional y/o técnico del archivo de historias laborales cada vez que reciba la solicitud de prestamos de una historia laboral por una de las dependencias autorizadas según lo dispuesto en el procedimiento organización, custodia y préstamo de historias laborales (PGRH-039), debe diligenciar el formato FGRH-174 Control de Préstamo de Historias Laborales y hacer seguimiento a su devolución oportuna. No se podrá hacer préstamo de historias laborales a funcionarios o dependencias no autorizadas.</t>
  </si>
  <si>
    <t>Formato FGRH-174 Control de Préstamo de Historias Laborales  diligenciado.
Periodicidad del control: cuando se requiera</t>
  </si>
  <si>
    <t>Uso indebido o modificación de la información académica contenida en los sistemas académicos de la Institución
y/o en otros medios</t>
  </si>
  <si>
    <t>Falta de seguimiento al uso de los sistemas
académicos y demás información académica
No definir los roles autorizados para el
manejo de los sistemas de información académica</t>
  </si>
  <si>
    <t>El líder del proceso de admisiones y registro cuando ingresa
un nuevo asesor de ventanilla o se obtiene un nuevo
sistema de información asigna los permios y usuarios
autorizados para ingreso y manejo de los sistemas
académicos de acuerdo a las actividades asignadas a su
cargo, y lo envia al líder de Desarrollo Tecnológico para la
asignación, en caso de que el usuario solicite un permiso
adicional a los asignados, se revisa la solicitud de acuerdo a
su cargo para ser concedido.</t>
  </si>
  <si>
    <t>Oficio Asignación
de Usuario y permisos, Comunicación interna de solicitud de
usuarios y permisos, sistema académico.</t>
  </si>
  <si>
    <t>Cada vez que se implemente una nueva actividad a realizar
en los sistemas de información de la Universidad de
Cordoba utilizados en Registros y admisiones, El lider de
proceso de Admisiones solicita mediante comunicación
interna al líder de proceso de Desarrollo Tecnologico
capacitaciones en la actividad requerida, una vez realizada
la evaluación de desempeño de los funcionarios de Registro
y admisiones que se realiza semestralmente, si se
encuentran insuficiencias en el manejo de los sistemas de
información se programa de manera inmediata una nueva
capacitación. Evidencia: Evaluación de desempeño,
Comunicacion interna solicitando capacitación.</t>
  </si>
  <si>
    <t xml:space="preserve"> Evaluación de desempeño,
Comunicacion interna solicitando capacitación.</t>
  </si>
  <si>
    <t xml:space="preserve">El líder del proceso de Gestión de Admisiones en aras de
velar por la integridad y calidad de datos de los sistemas de
información semestralmente audita las actividades
realizadas por los funcionarios del proceso en el sistema
académico, conforme a lo dispuesto en la Resolución 1650
de 2017 (Por Medio de la cual se adopta la politica y el
procedimiento para la protección de datos personales)
</t>
  </si>
  <si>
    <t xml:space="preserve"> Formatos de
Ajuste de matrícula, Homologación, Cancelación de cursos y
reporte
extemporáneo de notas, acta Equipo de mejoramiento.</t>
  </si>
  <si>
    <t>En caso de detectar anomalias en la auditoria se abre proceso de investigacion ante las instancias
respectivas</t>
  </si>
  <si>
    <t>Resultado de Auditoria e investigaciones</t>
  </si>
  <si>
    <t xml:space="preserve">No compartir información de interes de forma oportuna, emisión de piezas publicitarias con información incompleta o amañada, compartir información confidencial con personas no autorizadas, </t>
  </si>
  <si>
    <t>debido al Uso indebido de la información para favorecer intereses de terceros</t>
  </si>
  <si>
    <t>El funcionario encargado de hacer las revisiones de boletines y piezas publicitarias deberá hacer la recepción de los productos a través del correo institucional o del grupo de whatsApp de la Oficina para verificar contenidos y cumplimientos institucionales y posteriormente, si no tienen ninguna observación pasarlo para la respectiva publicación.</t>
  </si>
  <si>
    <t>Correos o comunicaciones con las piezas</t>
  </si>
  <si>
    <t>Selección de docentes sin el cumplimiento de los requisitos establecidos en la convocatoria</t>
  </si>
  <si>
    <t>Fallas en la verificación del cumplimiento de los perfiles requeridos en la convocatoria</t>
  </si>
  <si>
    <t xml:space="preserve">Verificar en  Consejo de Facultad el cumplimiento de los perfiles requeridos, comparando los requisitos de inscripción establecidos en la convocatoria con los soportes suministrados en las hojas de vida. </t>
  </si>
  <si>
    <t>Acta de Consejo de Facultad
Perfiles Requeridos</t>
  </si>
  <si>
    <t>En caso de confirmarse comportamientos fraudulentos durante el proceso de selección, se remite el caso a Control  Interno para que surta el procedimiento correspondiente</t>
  </si>
  <si>
    <t xml:space="preserve">Correo electrónico </t>
  </si>
  <si>
    <t>DOCENCIA-Posibilidad de afectación reputacional por la  selección de docentes sin el cumplimiento de los requisitos establecidos en la convocatoria, debido a fallas en la verificación del cumplimiento de los perfiles requeridos en la convocatoria</t>
  </si>
  <si>
    <t>TALENTO HUMANO. Posibilidad de afectación reputacional o económica por queja o reclamo de los funcionarios públicos docentes y no docentes o denuncias, debido al tráfico de influencia, Amiguismo, clientelismo y/o soborno, ocasionado por la liquidación intencional de un pago laboral no debido a un servidor público o tercero en los procesos de nómina.</t>
  </si>
  <si>
    <t xml:space="preserve">TALENTO HUMANO.Posibilidad de afectación reputacional por el uso inadecuado e indebido de información sensible manejada por el proceso para favorecer intereses de terceros, debido a al suministro de información a funcionarios internos sin la debida justificación del porque es requerida y/o entrega a personas externas a la institución sin autorización. </t>
  </si>
  <si>
    <t>TALENTO HUMANO.Posibilidad de afectación reputacional o económica por queja o reclamo de los funcionarios públicos docentes y no docentes o denuncias, debido al tráfico de influencia, amiguismo, clientelismo y/o soborno, ocasionado por el uso de la información que reposa en las historias laborales, bases de datos y software kactus, con fines diferentes a los institucionales para el beneficio personal o de terceros.</t>
  </si>
  <si>
    <t>REGISTROS Y ADMISIONES. Posibilidad de afectación reputacional por uso indebido o
modificación de la información académica contenida en los sistemas académicos de la Institución y/o en otros medios por falta de seguimiento al uso de los sistemas académicos y demás información académica, asi como tambien por no definir los roles autorizados para el manejo de los mismos.</t>
  </si>
  <si>
    <t>COMUNICACIONES. Posibilidad de afectación reputacional por no compartir información de interés de forma oportuna, emisión de piezas publicitarias con información incompleta o amañada, compartir información confidencial con personas no autorizadas, por el uso indebido de la información para favorecer intereses de terceros</t>
  </si>
  <si>
    <t>Emitir un recibido a satisfacción de un bien y/o un servicio sin el cumplimiento de las condiciones pactadas para un beneficio particular</t>
  </si>
  <si>
    <t xml:space="preserve">Dar cumplimiento a lo establecido en los procedimientos de de extension </t>
  </si>
  <si>
    <t>Auditorias</t>
  </si>
  <si>
    <t xml:space="preserve">Se enviara informe a control interno </t>
  </si>
  <si>
    <t xml:space="preserve">Informe de seguimiento </t>
  </si>
  <si>
    <t>EXTENSIÓN. Posibilidad de afectación económica y reputacional por emitir un recibido a satisfacción de un bien y/o un servicio sin el cumplimiento de las condiciones pactadas para un beneficio particular, debido al tráfico de influencia, Amiguismo, clientelismo y/o soborno</t>
  </si>
  <si>
    <t>Falta de capacitación en la normatividad relacionada con la Ley 1712 de 2014 Ley de transparencia y acceso a la información</t>
  </si>
  <si>
    <t>Desconocimiento en la normatividad relacionada con la Ley 1712 de 2014 Ley de transparencia y acceso a la información</t>
  </si>
  <si>
    <t xml:space="preserve"> Perdida, ocultamiento, modificación de documentos generados o archivados por la Institución</t>
  </si>
  <si>
    <t>Por soborno, dádiva o beneficio propio para permitir el uso inadecuado de información institucional</t>
  </si>
  <si>
    <t>G. DOCUMENTAL. Posibilidad de afectación 
económico y reputacional, por 
corrupción en ocultar a la 
ciudadanía información 
considerada pública, debido al 
desconocimiento en la 
Normatividad relacionada con 
la Ley 1712 de 2014 Ley de 
transparencia y acceso a la 
información.</t>
  </si>
  <si>
    <t>G. DOCUMENTAL. Posibilidad de afectación 
económico y reputacional por Perdida, ocultamiento, modificación de documentos generados o archivados por la Institución por soborno, dádiva o beneficio propio para permitir el uso inadecuado de información institucional</t>
  </si>
  <si>
    <t>El lider del Proceso Gestión Documental gestiona la capacitación anual a los funcionarios del Proceso, en la normatividad relacionada con la Ley 1712 de 2014, de Transparencia y del Derecho de Acceso a la Información Pública Nacional, mediante solicitud enviada por correo electrónico a la Oficina de Gestión del Talento Humano. En caso de no obtener respuesta, solicitará a la Oficina de Asuntos Jurídicos adelantar las gestiones para la realización inmediata de la capacitación</t>
  </si>
  <si>
    <t>Solicitud</t>
  </si>
  <si>
    <t>El íider del Proceso Gestión Documental gestiona la capacitación anual a los funcionarios del Proceso, en la normatividad relacionada con la Ley 1712 de 2014, de Transparencia y del Derecho de Acceso a la Información Pública Nacional, mediante solicitud enviada por correo electrónico a la Oficina de Gestión del Talento Humano. En caso de no obtener respuesta, solicitará a la Oficina de Asuntos Jurídicos adelantar las gestiones para la realización inmediata de la capacitación. Evidencias: solicitudes. Listados de asistencia. En caso de desviación se reportará el caso a la Oficina de Control Interno para que se aplique el régimen sancionatorio pertinente. Evidencias: solicitudes. Listados de asistencia.</t>
  </si>
  <si>
    <t>En caso de detectar alguna situación relacionada con ocultamiento de información se remite a la Oficina de Control Interno para lo pertinente.</t>
  </si>
  <si>
    <t>Comunicación</t>
  </si>
  <si>
    <t xml:space="preserve">Todas las solicitudes de consulta y préstamo de documentos deben ser registradas en el formato (FORMATO TRÁMITE DE CONSULTA Y / O PRESTAMO DE DOCUMENTOS - FGDO - 018). </t>
  </si>
  <si>
    <t>FORMATO TRÁMITE DE CONSULTA Y / O PRESTAMO DE DOCUMENTOS - FGDO - 018</t>
  </si>
  <si>
    <t>Cada que haya una solicitud de préstamo y/o consulta de documentos este se escaneará y se enviará por correo electrónico. En caso 
de que se requiera el documento físico, se le hará entrega del expediente al solicitante acorde a 
lo establecido en este procedimiento.</t>
  </si>
  <si>
    <t>Correo electrónico de envío de los documentos solicitados</t>
  </si>
  <si>
    <t>Reportar a Control Interno cualquier desviación significativa que ponga en riesgo la integralidad o conservación de los documentos que reposan  en el Archivo Central de la Institución</t>
  </si>
  <si>
    <t>Fallos en la presentación de resultados del sistema de gestión que favorezcan o desfavorezcan la gestión del sistema o de un proceso en particular</t>
  </si>
  <si>
    <t xml:space="preserve">
Debido a la omisión intencional de aspectos relevantes en la generación de información, reporte de indicadores entre otros, que repercute en la toma de decisiones y se genera por causa de tráfico de influencia, amiguismo, clientelismo y/o soborno entre otros</t>
  </si>
  <si>
    <t xml:space="preserve">
GESTIÓN DE CALIDAD. Posibilidad de afectación económica y reputacional por la toma de decisiones erróneas basadas en la información incorrecta incluida en los informes generados por una organización no sean precisos, completos, comprensibles o entregados a tiempo</t>
  </si>
  <si>
    <t>Proporcionar capacitación regular a los gestores y lideres de proceso en la elaboración de informes para garantizar que estén familiarizados con los procedimientos y las herramientas utilizadas, así como para mejorar la precisión y la calidad del trabajo.</t>
  </si>
  <si>
    <t>listado de asistencia y evaluación de la eficacia</t>
  </si>
  <si>
    <t>Realizar la revisión por pares donde los informes que sean generados por la Oficina del Sistema Integrado de Gestión sean revisados por compañeros o jefe inmediato para detectar posibles errores o inconsistencias antes de su distribución.</t>
  </si>
  <si>
    <t>Inclusión en los informes de visto bueno del superior inmediato o compañero que revisa</t>
  </si>
  <si>
    <t>Realización de tramites o gestiones internas sin el cumplimiento de los requisitos legales para el favorecimiento a terceros,</t>
  </si>
  <si>
    <t>Aceptación de dádiva o beneficio propio para permitir el uso inadecuado de información institucional</t>
  </si>
  <si>
    <t>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t>
  </si>
  <si>
    <t xml:space="preserve">Dar cumplimiento a los procedimientos de lealización de anticipos, procedimimiento de lealización de practicas academicas y procedimiento de conciliación bancaria  </t>
  </si>
  <si>
    <t>Reporte de cumplimiento de los procedimientos</t>
  </si>
  <si>
    <t xml:space="preserve">Seguiminetos periodicos a los procesos de legalización de anticipos por parte de la Oficina de Control Interno </t>
  </si>
  <si>
    <t xml:space="preserve">Retroalimentación de seguimiento mediante acta o informe  </t>
  </si>
  <si>
    <t xml:space="preserve">Seguiminetos periodicos a los procesos de cargue de pagos por parte de la Oficina de Control Interno </t>
  </si>
  <si>
    <t>Seguiminetos periodicos a los procesos de conciliación por parte de la Oficina de Control Interno</t>
  </si>
  <si>
    <t>Conformar equipos  o jornadas de trabajo que atienda porner al día lo que se identifica como atrasado en el proceso de legalización de anticipo</t>
  </si>
  <si>
    <t>Registro de la realización  producto de la actividad</t>
  </si>
  <si>
    <t>25%</t>
  </si>
  <si>
    <t>Conformar equipos  o jornadas de trabajo que atienda porner al día lo que se identifica como atrasado en el proceso de cargue de pagos</t>
  </si>
  <si>
    <t>Conformar equipos  o jornadas de trabajo que atienda porner al día lo que se identifica como atrasado en el proceso de conciliaciones bancarias</t>
  </si>
  <si>
    <t xml:space="preserve">Remisión a la Oficina de Control Interno en caso de identificarse la Presitencia en la conducta de incumplimiento del proceso de legalzación de anticipo, conciliación Bancaria y cargue de pagos </t>
  </si>
  <si>
    <t xml:space="preserve">Notificación de remisión </t>
  </si>
  <si>
    <t xml:space="preserve">Incumplimiento de términos legales en actuaciones disciplinarias </t>
  </si>
  <si>
    <t>Negligencia del abogado responsable del proceso</t>
  </si>
  <si>
    <t>Favorecimiento de candidatos en elecciones internas</t>
  </si>
  <si>
    <t xml:space="preserve"> Beneficios personales</t>
  </si>
  <si>
    <t>El jefe de la oficina de Control Disciplinario Interno, cada tres meses, solicitará a  los abogados asignados a cada proceso, informes de gestión con el fin de revisar el cumplimiento de las actuaciones y términos en cada expediente disciplinario, verificando que el desarrollo de las actuaciones procesales se surtan acorde a la ley disciplinaria</t>
  </si>
  <si>
    <t>correos institucionales y comunicaciones</t>
  </si>
  <si>
    <t>Realizar reunión con los abogados para revisar informes de gestión de impulso de procesos disciplinarios</t>
  </si>
  <si>
    <t>G. LEGAL. Posibilidad de afectación reputacional de la Institución, por el incumplimiento de términos legales en etapas del proceso disciplinario</t>
  </si>
  <si>
    <t>G. LEGAL. Posibilidad de afectación reputacional al presentarse favorecimiento de candidatos en procesos electorales internos</t>
  </si>
  <si>
    <t>Cada vez que se inicie un proceso de elección,  El Comité electoral realizará la verificacion  del cumplimiento de los requisitos, de acuerdo a lo establecido en la normatividad vigente para la materia</t>
  </si>
  <si>
    <t>Actas</t>
  </si>
  <si>
    <t>Ejecución indebida de proyectos de inversión para satisfacer intereses particulares o de terceros</t>
  </si>
  <si>
    <t>Transparencia en la elaboración y ejecución de proyectos, de manera que: 
1. Se realicen de forma detallada y basada en criterios objetivos, evitando favoritismos o intereses particulares, asegurando que los fondos se utilicen de acuerdo con los objetivos establecidos.
2. Se evalue la viabilidad técnica, financiera y ética de los proyectos antes de su ejecución.
3. Se exijan informes regulares de progreso durante la ejecución de los proyectos para mantener la transparencia y la rendición de cuentas
(Periodicidad: Cada vez que se elabore un proyecto de inversión)</t>
  </si>
  <si>
    <t>Presupuestos, Estudios previos, informes de supervisión</t>
  </si>
  <si>
    <t>Formación en Ética y Buenas Prácticas de gestión de proyectos a todos los involucrados en su ejecución.</t>
  </si>
  <si>
    <t>Listado de asistencia</t>
  </si>
  <si>
    <t>Realizar auditorías periódicas tanto internas como externas para detectar posibles irregularidades y asegurar el cumplimiento de las políticas establecidas. (Periodicidad: Cada vez que aplique a los proyectos de inversión según programación de control interno o entidades externas)</t>
  </si>
  <si>
    <t>Auditorías internas y externas</t>
  </si>
  <si>
    <t>PLANEACIÓN. Posibilidad de afectación económica y reputacional por la ejecución indebida de proyectos de inversión para satisfacer intereses particulares o de terceros debido al tráfico de influencia, Amiguismo, clientelismo y/o soborno</t>
  </si>
  <si>
    <t>Omisión en los 
informes de
control interno de hallazgos fiscales, misionales o ambientales 
detectados.</t>
  </si>
  <si>
    <t>Conflicto de intereses</t>
  </si>
  <si>
    <t>Para la designación del equipo auditor, se verificará que sus integrantes no tuvieran relación directa con el proceso auditado por un periodo de al menos un año, que no existan conflicto de intereses, inhabilidades o incompatibilidades</t>
  </si>
  <si>
    <t xml:space="preserve">Herramienta de designación de auditores </t>
  </si>
  <si>
    <t xml:space="preserve">
En caso que se materialice el riesgo, remitir el caso a control disciplinario interno 
para que este determine la conducta</t>
  </si>
  <si>
    <t>Correo electrónico u oficio de remisión de caso
Periodicidad: cada vez que sea necesario</t>
  </si>
  <si>
    <t>Programar nuevamente auditoría en la que se detectó el hallazgo, esta vez con un nuevo equipo auditor (conformado por un 
miembro del proceso de seguimiento y control, un 
miembro de la oficina de SIGEC y un abogado de control 
disciplinario interno; definición de fecha prioritaria y 
realización de auditoría)</t>
  </si>
  <si>
    <t>Plan de auditoría
Periodicidad: cada vez que sea necesario</t>
  </si>
  <si>
    <t>Elaborar informe del hallazgo y socializar los resultados del nuevo proceso de auditoría, al comité de coordinación de control interno</t>
  </si>
  <si>
    <t>Informe de Auditoria
Periodicidad: cada vez que sea necesario</t>
  </si>
  <si>
    <t>SEGUIMIENTO Y CONTROL. Posibilidad de afectación económica y reputacional por la Omisión en los informes de control interno de hallazgos fiscales, misionales o ambientales detectados por causa de conflicto de intereses.</t>
  </si>
  <si>
    <t>Por la modificación o suspensión de multas, cuotas o saldos pendientes sin que estas hayan sido pagadas por parte de los usuarios.</t>
  </si>
  <si>
    <t>Por abuso de autoridad o extralimitación de funciones.</t>
  </si>
  <si>
    <t>Generar reporte en el software de gestión de Bibliotecas con los usuarios multados para ser registrados en el aplicativo académico</t>
  </si>
  <si>
    <t>Correo electrónico de envío de archivo plano con los usuarios multados a sistemas</t>
  </si>
  <si>
    <t>Verificar y archivar recibo de pago de multas por parte de los usuarios cada vez que se presentan y se descarga la multa del sistema.</t>
  </si>
  <si>
    <t>Recibos de pago de multas</t>
  </si>
  <si>
    <t>Enviar relación de multas pagadas y condonadas al Lider del proceso</t>
  </si>
  <si>
    <t>Reporte de multas pagadas y/o condonadas       Estadísticas mensuales de usuarios multados, multas pagadas y multas condonadas.</t>
  </si>
  <si>
    <t>Cuando se detecte la modificación o suspensión de una multa sin que haya sido pagada o condonada, se revisará con el funcionario que realizó la descarga para que aporte el comprobante de pago correspondiente. En caso de que este no lo tenga se contactará al usuario para exclarecer los hechos y realice el pago en caso de no haberlo hecho.</t>
  </si>
  <si>
    <t>Comprobante de pago</t>
  </si>
  <si>
    <t>Adelantar un trámite que beneficie a su solicitante (estudiantes, docentes y administrativos) sin el cumplimento de los requisitos establecidos para ello</t>
  </si>
  <si>
    <t>debido al tráfico de influencia, Amiguismo y/o  clientelismo</t>
  </si>
  <si>
    <t>Apropiación, uso o aplicación indebida de los equipos y elementos de las áreas Culturales, artísticas y deportivas,  por parte de los funcionarios públicos encargados de su administración, manejo y/o custodia, en beneficio propio, favorecimiento a terceros o asuntos no institucionales</t>
  </si>
  <si>
    <t>Extralimitación de funciones y falta de controles para asegurar el correcto uso de los equipos y elementos de las áreas Culturales, artísticas y deportivas</t>
  </si>
  <si>
    <t>debido al tráfico de influencia, Amiguismo, clientelismo y/o soborno</t>
  </si>
  <si>
    <t>Revisión del cumplimiento de los requisitos en las solicitudes, inicialmente por la profesional responsable del área</t>
  </si>
  <si>
    <t xml:space="preserve"> Lista de Chequeo en formato FGBI-069    Formulario de Inscripción a los servicios de Promoción Social, firmado por el estudiante y el profesional responsable del área</t>
  </si>
  <si>
    <t xml:space="preserve">Verificación del cumplimiento de requisitos de los solcitantes y selección de los beneficiados por el comité de Bienestar </t>
  </si>
  <si>
    <t>Acta de Comité de Bienestar</t>
  </si>
  <si>
    <t>En caso de materializarse el riesgo, se le suspende el servicio al estudiante y se traslada informe del caso a control interno</t>
  </si>
  <si>
    <t>Informe enviado por correo electronico a control interno</t>
  </si>
  <si>
    <t>En caso de materializarse el riesgo, se traslada informe de la situación a almacen cuando se de la perdida del activo y a control interno en los casos que solo se tenga que reportar la salida no autorizada de los activos del área.</t>
  </si>
  <si>
    <t>Informe que se remite a almacen y a control interno</t>
  </si>
  <si>
    <t>Cada profesional de área elabora los informes preliminares de cada contrato para la elaboación final de los informes de interventoria de los contratos</t>
  </si>
  <si>
    <t>Informes preliminares de cada contrato por área</t>
  </si>
  <si>
    <t xml:space="preserve">Cuando se materializa el riesgo se notifica  ala oficina d control interno </t>
  </si>
  <si>
    <t>Notificación escreita a control interno</t>
  </si>
  <si>
    <t>Posible incumplimiento de los requisitos legales aplicables: Se puede presentar en la en la celebración de contratos, supervisión e interventoría de contratos, apropiación de recursos y manejos presupuestales</t>
  </si>
  <si>
    <t>BIBLIOTECA. Posibilidad de afectación económico y reputacional por la modificación o suspensión de multas, cuotas o saldos pendientes sin que estas hayan sido pagadas por parte de los usuarios bien sea por abuso de poder o extralimitacion de las funciones de los funcionarios encargados.</t>
  </si>
  <si>
    <t>BIENESTAR. Posibilidad de afectación reputacional por adelantar tramites que beneficien  a su solicitante (estudiantes, docentes y administrativos) sin el cumplimento de los requisitos establecidos para ello, por   tráfico de influencia, Amiguismo y/o  clientelismo</t>
  </si>
  <si>
    <t>BIENESTAR. Posibilidad de afectación Económico y Reputacional  por la apropiación, uso o aplicación indebida de los equipos y elementos de las áreas Culturales, artísticas y deportivas,  por parte de los funcionarios públicos encargados de su administración, manejo y/o custodia, en beneficio propio, favorecimiento a terceros o asuntos no institucionales por Extralimitación de funciones y falta de controles para asegurar el correcto uso de los equipos y elementos de las áreas Culturales, artísticas y deportivas</t>
  </si>
  <si>
    <t>BIENESTAR. Posibilidad de afectación Económico y Reputacional  por la emisión de recibido a satisfacción de un bien y/o un servicio sin el cumplimiento de las condiciones pactadas para un beneficio particular ,debido al tráfico de influencia, Amiguismo, clientelismo y/o soborno</t>
  </si>
  <si>
    <t>CONTRATACIÓN. Posibilidad de afectación reputacional y afectación economica  de la Institución por posibles pagos sin el cumplimiento de los requisitos establecidos en las diferentes fases de la ejecución del contrato</t>
  </si>
  <si>
    <t>Cada vez que se presente un proceso contractual de invitación pública o contratación directa, el profesional de contratación revisará los estudios previos y de encontrar inconsistencias,referente sobrecosto, caracterisitcas técnicas no claras, bienes o servicios que no corresponden con la necesidad, el profesional designado las comunicará al área solicitante mediante correo electrónico y hará devolución de los estudios para corrección, antes de desarrollar el proyecto de pliego de condiciones en los procesos de invitación pública o de contratación directa
Evidencia: estudios previos, Correo electrónico en los casos que se necesario."</t>
  </si>
  <si>
    <t>Correos Electronicos</t>
  </si>
  <si>
    <t xml:space="preserve">Cuando no se obtenga respuesta por parte del proceso solicitante, se solicitará cotizaciones con otros proveedores o contratistas </t>
  </si>
  <si>
    <t>Cotizaciones</t>
  </si>
  <si>
    <t xml:space="preserve">Se da la terminación unilateral del contrato </t>
  </si>
  <si>
    <t>Acta de terminacion Unilateral</t>
  </si>
  <si>
    <t>Se envia el expediente contractual a la Oficina de Jurídica para que haga efectiva la poliza</t>
  </si>
  <si>
    <t>Oficios remisorios y correos electronicos</t>
  </si>
  <si>
    <t>Debido a la  modificación no autorizada de datos, sabotaje</t>
  </si>
  <si>
    <t>Deficiencia en los controles procedimentales y técnicos y/o sobre las acciones que realizan los usuarios</t>
  </si>
  <si>
    <t>D. TECNOLÓGICO. Posibilidad de afectación económica y reputacional, debido a modificación no autorizada de datos, sabotaje o  fraude interno,  a un sistema informático por  deficiencia en los controles procedimentales y técnicos y/o sobre las acciones que realizan los usuarios en los sistemas  s informáticos de la Universidad.</t>
  </si>
  <si>
    <t xml:space="preserve">Semestralmente, el profesional de la subdirección de sistemas y TIC verifica la aplicación de las politicas de seguridad mediante la realización de Auditorías aleatorias a las diferentes plataformas (Académica, Administrativas, Utilitarias y de base de la infraestructura).  </t>
  </si>
  <si>
    <t>Informes de auditoria</t>
  </si>
  <si>
    <t xml:space="preserve">Destinación indebida de recursos (suministros y materiales)  </t>
  </si>
  <si>
    <t>Desface en la solicitud de materiales que no son necesarios para manteniemiento preventivo o correctivo.</t>
  </si>
  <si>
    <t>INFRAESTRUCTURA. Posibilidad de afectacion economica por Destinación indebida de recursos (suministros y materiales) , debido a Desface en la solicitud de materiales que no son necesarios para manteniemiento preventivo o correctivo.</t>
  </si>
  <si>
    <t>El funcionario responsable de la programación de mantenimientos de infraestructura apoyado en los operarios verificara los materiales necesarios para atender los mantenimientos que se generan a través del formato FINF-001. La entrega de materiales se realiza en el formato FINF-029 al igual que la verificación de que sean utilizados en la ejecución de las actividades de mantenimiento</t>
  </si>
  <si>
    <t>Formato FINF-029</t>
  </si>
  <si>
    <t>Si parte del material solicitado no es utilizados, este si se necesita es asignado a otro mantenimiento, si no se entrega en la bodega, y lo que sea reemplazado se entrega al responsable de la caseta temporal de almacenamiento de residuos</t>
  </si>
  <si>
    <t>Formato FINF-042</t>
  </si>
  <si>
    <t>Realizar el verificación a los materiales que sean devueltos almacén y los que sean enviados a la caseta de almacenamiento de residuos. Formato FINF-042.</t>
  </si>
  <si>
    <t xml:space="preserve">Por la selección indebida de los beneficiados en
convocatorias para la aprobación de solicitudes de movilidad, ayudantías y/o becas de
intercambios o pasantias </t>
  </si>
  <si>
    <t>debido al tráfico de influencias en el proceso de aprobación de las solicitudes</t>
  </si>
  <si>
    <t xml:space="preserve">verificar que las solicitudes de movilidad resultantes cuenten todas con el aval de todas las instancias correspondientes acorde al procedimiento vigente </t>
  </si>
  <si>
    <t>Carpeta consolidada de Registros</t>
  </si>
  <si>
    <t xml:space="preserve">El líder del proceso reporta a control interno cuando se detecte un caso de aprobación de movilidad sin realizar el procedimiento. </t>
  </si>
  <si>
    <t>Oficio remision control Interno o Correo electrónico</t>
  </si>
  <si>
    <t xml:space="preserve">INTERNACIONALIZACIÓN. Posibilidad de afectación reputacional por la selección indebida de los beneficiados en convocatorias para la aprobación de solicitudes de movilidad, ayudantías y/o becas de
intercambios o pasantias </t>
  </si>
  <si>
    <t xml:space="preserve">Aprobación de proyectos de investigación sin el cumplimiento de los requisitos exigidos en las Convocatorias </t>
  </si>
  <si>
    <t>Trafico de influencias</t>
  </si>
  <si>
    <t xml:space="preserve">INVESTIGACIÓN. Posibilidad de afectaciòn economica y reputacional por las aprobación de proyectos de investigación sin el cumplimiento de los requisitos exigidos en las Convocatorias debido al trafico de influencias </t>
  </si>
  <si>
    <t>El Vicerrector de Investigación y Extensión  y el Comite Central de Investigación verifica el cumplimiento de las propuestas presentadas en las convocatorias internas realizando seguimiento a la aprobación de los proyectos de investigación con respecto al cumplimiento de los requisitos establecidos en la Convocatoria,  en caso de detectar que se presento alguna inregularidad se pondra en conocimiento al Comite central de investigación para proceder segun sea el caso</t>
  </si>
  <si>
    <t xml:space="preserve">Lista de verificación de los proyectos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</si>
</sst>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0"/>
      <color theme="9" tint="-0.249977111117893"/>
      <name val="Arial Narrow"/>
      <family val="2"/>
    </font>
    <font>
      <sz val="11"/>
      <color theme="9" tint="-0.249977111117893"/>
      <name val="Arial Narrow"/>
      <family val="2"/>
    </font>
    <font>
      <sz val="11"/>
      <color theme="1"/>
      <name val="Tahoma"/>
      <family val="2"/>
    </font>
    <font>
      <b/>
      <sz val="11"/>
      <color theme="1"/>
      <name val="Tahoma"/>
      <family val="2"/>
    </font>
    <font>
      <b/>
      <sz val="14"/>
      <color theme="1"/>
      <name val="Tahoma"/>
      <family val="2"/>
    </font>
    <font>
      <b/>
      <sz val="28"/>
      <color theme="1"/>
      <name val="Tahoma"/>
      <family val="2"/>
    </font>
    <font>
      <sz val="22"/>
      <color theme="1"/>
      <name val="Tahoma"/>
      <family val="2"/>
    </font>
    <font>
      <b/>
      <sz val="18"/>
      <color theme="1"/>
      <name val="Tahoma"/>
      <family val="2"/>
    </font>
    <font>
      <sz val="8"/>
      <name val="Calibri"/>
      <family val="2"/>
      <scheme val="minor"/>
    </font>
    <font>
      <sz val="9"/>
      <color indexed="81"/>
      <name val="Tahoma"/>
      <family val="2"/>
    </font>
    <font>
      <b/>
      <sz val="9"/>
      <color indexed="81"/>
      <name val="Tahoma"/>
      <family val="2"/>
    </font>
    <font>
      <b/>
      <sz val="16"/>
      <color theme="1"/>
      <name val="Tahoma"/>
      <family val="2"/>
    </font>
    <font>
      <b/>
      <sz val="12"/>
      <color theme="1"/>
      <name val="Tahoma"/>
      <family val="2"/>
    </font>
    <font>
      <b/>
      <sz val="24"/>
      <color theme="1"/>
      <name val="Tahoma"/>
      <family val="2"/>
    </font>
    <font>
      <b/>
      <sz val="22"/>
      <color theme="1"/>
      <name val="Tahoma"/>
      <family val="2"/>
    </font>
    <font>
      <b/>
      <sz val="10"/>
      <color theme="1"/>
      <name val="Tahoma"/>
      <family val="2"/>
    </font>
    <font>
      <sz val="10"/>
      <color theme="1"/>
      <name val="Tahoma"/>
      <family val="2"/>
    </font>
    <font>
      <b/>
      <sz val="9"/>
      <color theme="1"/>
      <name val="Tahoma"/>
      <family val="2"/>
    </font>
    <font>
      <sz val="9"/>
      <color theme="1"/>
      <name val="Tahoma"/>
      <family val="2"/>
    </font>
    <font>
      <sz val="11"/>
      <color rgb="FF000000"/>
      <name val="Arial Narrow"/>
      <family val="2"/>
    </font>
    <font>
      <sz val="9"/>
      <color rgb="FF000000"/>
      <name val="Arial Narrow"/>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EAEAEA"/>
        <bgColor indexed="64"/>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rgb="FFF79646"/>
      </left>
      <right/>
      <top style="dotted">
        <color rgb="FFF79646"/>
      </top>
      <bottom style="dotted">
        <color rgb="FFF79646"/>
      </bottom>
      <diagonal/>
    </border>
    <border>
      <left/>
      <right style="dotted">
        <color rgb="FFF79646"/>
      </right>
      <top style="dotted">
        <color rgb="FFF79646"/>
      </top>
      <bottom style="dotted">
        <color rgb="FFF7964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15" fillId="0" borderId="0" applyFont="0" applyFill="0" applyBorder="0" applyAlignment="0" applyProtection="0"/>
    <xf numFmtId="0" fontId="42" fillId="0" borderId="0"/>
    <xf numFmtId="0" fontId="43" fillId="0" borderId="0"/>
    <xf numFmtId="0" fontId="5" fillId="0" borderId="0"/>
  </cellStyleXfs>
  <cellXfs count="39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2" xfId="0" applyFont="1" applyFill="1" applyBorder="1" applyAlignment="1">
      <alignment horizontal="center" vertical="center" wrapText="1" readingOrder="1"/>
    </xf>
    <xf numFmtId="0" fontId="11" fillId="0" borderId="2" xfId="0" applyFont="1" applyBorder="1" applyAlignment="1">
      <alignment horizontal="justify" vertical="center" wrapText="1" readingOrder="1"/>
    </xf>
    <xf numFmtId="9" fontId="11" fillId="0" borderId="2"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3" borderId="0" xfId="0" applyFont="1" applyFill="1" applyAlignment="1">
      <alignment horizontal="center" vertical="center"/>
    </xf>
    <xf numFmtId="0" fontId="1" fillId="3" borderId="0" xfId="0" applyFont="1" applyFill="1" applyAlignment="1">
      <alignment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3"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5" borderId="2"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0" fillId="3" borderId="0" xfId="0" applyFill="1"/>
    <xf numFmtId="0" fontId="44" fillId="3" borderId="37" xfId="2" applyFont="1" applyFill="1" applyBorder="1"/>
    <xf numFmtId="0" fontId="44" fillId="3" borderId="38" xfId="2" applyFont="1" applyFill="1" applyBorder="1"/>
    <xf numFmtId="0" fontId="44" fillId="3" borderId="39" xfId="2" applyFont="1" applyFill="1" applyBorder="1"/>
    <xf numFmtId="0" fontId="17" fillId="3" borderId="0" xfId="0" applyFont="1" applyFill="1" applyAlignment="1">
      <alignment vertical="center"/>
    </xf>
    <xf numFmtId="0" fontId="5" fillId="3" borderId="0" xfId="0" applyFont="1" applyFill="1"/>
    <xf numFmtId="0" fontId="34" fillId="3" borderId="0" xfId="0" applyFont="1" applyFill="1"/>
    <xf numFmtId="0" fontId="35" fillId="3" borderId="20" xfId="0" applyFont="1" applyFill="1" applyBorder="1" applyAlignment="1">
      <alignment horizontal="center" vertical="center" wrapText="1" readingOrder="1"/>
    </xf>
    <xf numFmtId="0" fontId="36" fillId="3" borderId="20" xfId="0" applyFont="1" applyFill="1" applyBorder="1" applyAlignment="1">
      <alignment horizontal="justify" vertical="center" wrapText="1" readingOrder="1"/>
    </xf>
    <xf numFmtId="9" fontId="35" fillId="3" borderId="29" xfId="0" applyNumberFormat="1"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6" fillId="3" borderId="19" xfId="0" applyFont="1" applyFill="1" applyBorder="1" applyAlignment="1">
      <alignment horizontal="justify" vertical="center" wrapText="1" readingOrder="1"/>
    </xf>
    <xf numFmtId="9" fontId="35" fillId="3" borderId="24" xfId="0" applyNumberFormat="1" applyFont="1" applyFill="1" applyBorder="1" applyAlignment="1">
      <alignment horizontal="center" vertical="center" wrapText="1" readingOrder="1"/>
    </xf>
    <xf numFmtId="0" fontId="36" fillId="3" borderId="24"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0" fontId="36" fillId="3" borderId="27" xfId="0" applyFont="1" applyFill="1" applyBorder="1" applyAlignment="1">
      <alignment horizontal="center" vertical="center" wrapText="1" readingOrder="1"/>
    </xf>
    <xf numFmtId="0" fontId="41" fillId="3" borderId="0" xfId="0" applyFont="1" applyFill="1"/>
    <xf numFmtId="0" fontId="35" fillId="15" borderId="31" xfId="0" applyFont="1" applyFill="1" applyBorder="1" applyAlignment="1">
      <alignment horizontal="center" vertical="center" wrapText="1" readingOrder="1"/>
    </xf>
    <xf numFmtId="0" fontId="35" fillId="15" borderId="32" xfId="0" applyFont="1" applyFill="1" applyBorder="1" applyAlignment="1">
      <alignment horizontal="center" vertical="center" wrapText="1" readingOrder="1"/>
    </xf>
    <xf numFmtId="0" fontId="14" fillId="3" borderId="0" xfId="0" applyFont="1" applyFill="1"/>
    <xf numFmtId="0" fontId="29"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4" fillId="3" borderId="5" xfId="2" applyFont="1" applyFill="1" applyBorder="1"/>
    <xf numFmtId="0" fontId="49" fillId="3" borderId="0" xfId="0" applyFont="1" applyFill="1" applyAlignment="1">
      <alignment horizontal="left" vertical="center" wrapText="1"/>
    </xf>
    <xf numFmtId="0" fontId="50" fillId="3" borderId="0" xfId="0" applyFont="1" applyFill="1" applyAlignment="1">
      <alignment horizontal="left" vertical="top" wrapText="1"/>
    </xf>
    <xf numFmtId="0" fontId="44" fillId="3" borderId="0" xfId="2" applyFont="1" applyFill="1"/>
    <xf numFmtId="0" fontId="44" fillId="3" borderId="6" xfId="2" applyFont="1" applyFill="1" applyBorder="1"/>
    <xf numFmtId="0" fontId="44" fillId="3" borderId="7" xfId="2" applyFont="1" applyFill="1" applyBorder="1"/>
    <xf numFmtId="0" fontId="44" fillId="3" borderId="9" xfId="2" applyFont="1" applyFill="1" applyBorder="1"/>
    <xf numFmtId="0" fontId="44" fillId="3" borderId="8" xfId="2" applyFont="1" applyFill="1" applyBorder="1"/>
    <xf numFmtId="0" fontId="48" fillId="3" borderId="0" xfId="2" applyFont="1" applyFill="1" applyAlignment="1">
      <alignment horizontal="left" vertical="center" wrapText="1"/>
    </xf>
    <xf numFmtId="0" fontId="44" fillId="3" borderId="0" xfId="2" applyFont="1" applyFill="1" applyAlignment="1">
      <alignment horizontal="left" vertical="center" wrapText="1"/>
    </xf>
    <xf numFmtId="0" fontId="44" fillId="3" borderId="0" xfId="2" quotePrefix="1" applyFont="1" applyFill="1" applyAlignment="1">
      <alignment horizontal="left" vertical="center" wrapText="1"/>
    </xf>
    <xf numFmtId="0" fontId="46" fillId="3" borderId="5" xfId="2" quotePrefix="1" applyFont="1" applyFill="1" applyBorder="1" applyAlignment="1">
      <alignment horizontal="left" vertical="top" wrapText="1"/>
    </xf>
    <xf numFmtId="0" fontId="47" fillId="3" borderId="0" xfId="2" quotePrefix="1" applyFont="1" applyFill="1" applyAlignment="1">
      <alignment horizontal="left" vertical="top" wrapText="1"/>
    </xf>
    <xf numFmtId="0" fontId="47" fillId="3" borderId="6" xfId="2" quotePrefix="1" applyFont="1" applyFill="1" applyBorder="1" applyAlignment="1">
      <alignment horizontal="left" vertical="top" wrapText="1"/>
    </xf>
    <xf numFmtId="0" fontId="56" fillId="3" borderId="62" xfId="0" applyFont="1" applyFill="1" applyBorder="1" applyAlignment="1">
      <alignment horizontal="center" vertical="center"/>
    </xf>
    <xf numFmtId="0" fontId="0" fillId="3" borderId="0" xfId="0" applyFill="1" applyAlignment="1">
      <alignment horizontal="center"/>
    </xf>
    <xf numFmtId="0" fontId="56" fillId="3" borderId="0" xfId="0" applyFont="1" applyFill="1" applyAlignment="1">
      <alignment horizontal="center" vertical="center"/>
    </xf>
    <xf numFmtId="0" fontId="55" fillId="3" borderId="0" xfId="0" applyFont="1" applyFill="1" applyAlignment="1">
      <alignment horizontal="center" vertical="center"/>
    </xf>
    <xf numFmtId="9" fontId="1" fillId="0" borderId="19" xfId="0" applyNumberFormat="1" applyFont="1" applyBorder="1" applyAlignment="1" applyProtection="1">
      <alignment vertical="center" wrapText="1"/>
      <protection hidden="1"/>
    </xf>
    <xf numFmtId="0" fontId="4" fillId="0" borderId="38" xfId="0" applyFont="1" applyBorder="1" applyAlignment="1">
      <alignment vertical="center"/>
    </xf>
    <xf numFmtId="0" fontId="4" fillId="0" borderId="0" xfId="0" applyFont="1" applyAlignment="1">
      <alignment vertical="center"/>
    </xf>
    <xf numFmtId="0" fontId="0" fillId="0" borderId="0" xfId="0" applyAlignment="1">
      <alignment wrapText="1"/>
    </xf>
    <xf numFmtId="0" fontId="0" fillId="0" borderId="0" xfId="0" applyAlignment="1">
      <alignment textRotation="90"/>
    </xf>
    <xf numFmtId="0" fontId="0" fillId="0" borderId="0" xfId="0" applyAlignment="1">
      <alignment horizontal="center" wrapText="1"/>
    </xf>
    <xf numFmtId="0" fontId="55" fillId="3" borderId="0" xfId="0" applyFont="1" applyFill="1" applyAlignment="1">
      <alignment horizontal="center" vertical="center" wrapText="1"/>
    </xf>
    <xf numFmtId="0" fontId="0" fillId="3" borderId="0" xfId="0" applyFill="1" applyAlignment="1">
      <alignment horizontal="center" wrapText="1"/>
    </xf>
    <xf numFmtId="164" fontId="1" fillId="23" borderId="70" xfId="1" applyNumberFormat="1" applyFont="1" applyFill="1" applyBorder="1" applyAlignment="1" applyProtection="1">
      <alignment horizontal="center" vertical="center"/>
      <protection hidden="1"/>
    </xf>
    <xf numFmtId="0" fontId="1" fillId="23" borderId="20" xfId="0" applyFont="1" applyFill="1" applyBorder="1" applyAlignment="1" applyProtection="1">
      <alignment horizontal="center" vertical="center" textRotation="90"/>
      <protection hidden="1"/>
    </xf>
    <xf numFmtId="0" fontId="1" fillId="23" borderId="19" xfId="0" applyFont="1" applyFill="1" applyBorder="1" applyAlignment="1" applyProtection="1">
      <alignment horizontal="center" vertical="center"/>
      <protection hidden="1"/>
    </xf>
    <xf numFmtId="0" fontId="1" fillId="23" borderId="24" xfId="0" applyFont="1" applyFill="1" applyBorder="1" applyAlignment="1" applyProtection="1">
      <alignment horizontal="center" vertical="center" textRotation="90"/>
      <protection hidden="1"/>
    </xf>
    <xf numFmtId="164" fontId="1" fillId="23" borderId="64" xfId="1" applyNumberFormat="1" applyFont="1" applyFill="1" applyBorder="1" applyAlignment="1" applyProtection="1">
      <alignment horizontal="center" vertical="center"/>
      <protection hidden="1"/>
    </xf>
    <xf numFmtId="0" fontId="1" fillId="23" borderId="19" xfId="0" applyFont="1" applyFill="1" applyBorder="1" applyAlignment="1" applyProtection="1">
      <alignment horizontal="center" vertical="center" textRotation="90"/>
      <protection hidden="1"/>
    </xf>
    <xf numFmtId="0" fontId="0" fillId="23" borderId="28" xfId="0" applyFill="1" applyBorder="1" applyAlignment="1" applyProtection="1">
      <alignment horizontal="center" vertical="center" wrapText="1"/>
      <protection locked="0" hidden="1"/>
    </xf>
    <xf numFmtId="0" fontId="0" fillId="23" borderId="20" xfId="0" applyFill="1" applyBorder="1" applyAlignment="1" applyProtection="1">
      <alignment vertical="center" wrapText="1"/>
      <protection hidden="1"/>
    </xf>
    <xf numFmtId="0" fontId="0" fillId="23" borderId="55" xfId="0" applyFill="1" applyBorder="1" applyAlignment="1" applyProtection="1">
      <alignment horizontal="center" vertical="center" textRotation="90" wrapText="1"/>
      <protection hidden="1"/>
    </xf>
    <xf numFmtId="0" fontId="1" fillId="23" borderId="28" xfId="0" applyFont="1" applyFill="1" applyBorder="1" applyAlignment="1" applyProtection="1">
      <alignment horizontal="center" vertical="center"/>
      <protection hidden="1"/>
    </xf>
    <xf numFmtId="0" fontId="0" fillId="23" borderId="23" xfId="0" applyFill="1" applyBorder="1" applyAlignment="1" applyProtection="1">
      <alignment horizontal="center" vertical="center" wrapText="1"/>
      <protection locked="0" hidden="1"/>
    </xf>
    <xf numFmtId="0" fontId="0" fillId="23" borderId="19" xfId="0" applyFill="1" applyBorder="1" applyAlignment="1" applyProtection="1">
      <alignment vertical="center" wrapText="1"/>
      <protection hidden="1"/>
    </xf>
    <xf numFmtId="0" fontId="0" fillId="23" borderId="63" xfId="0" applyFill="1" applyBorder="1" applyAlignment="1" applyProtection="1">
      <alignment horizontal="center" vertical="center" textRotation="90" wrapText="1"/>
      <protection hidden="1"/>
    </xf>
    <xf numFmtId="0" fontId="1" fillId="23" borderId="23" xfId="0" applyFont="1" applyFill="1" applyBorder="1" applyAlignment="1" applyProtection="1">
      <alignment horizontal="center" vertical="center"/>
      <protection hidden="1"/>
    </xf>
    <xf numFmtId="0" fontId="6" fillId="0" borderId="19" xfId="0" applyFont="1" applyBorder="1" applyAlignment="1" applyProtection="1">
      <alignment horizontal="center" vertical="center" wrapText="1"/>
      <protection locked="0" hidden="1"/>
    </xf>
    <xf numFmtId="0" fontId="1" fillId="0" borderId="19" xfId="0" applyFont="1" applyBorder="1" applyAlignment="1" applyProtection="1">
      <alignment horizontal="center" vertical="center" textRotation="90"/>
      <protection locked="0" hidden="1"/>
    </xf>
    <xf numFmtId="0" fontId="1" fillId="0" borderId="62" xfId="0" applyFont="1" applyBorder="1" applyAlignment="1" applyProtection="1">
      <alignment horizontal="center" vertical="center" textRotation="90"/>
      <protection locked="0" hidden="1"/>
    </xf>
    <xf numFmtId="0" fontId="1" fillId="0" borderId="19" xfId="0" applyFont="1" applyBorder="1" applyAlignment="1" applyProtection="1">
      <alignment horizontal="center" vertical="center" wrapText="1"/>
      <protection locked="0" hidden="1"/>
    </xf>
    <xf numFmtId="0" fontId="2" fillId="0" borderId="19" xfId="0" applyFont="1" applyBorder="1" applyAlignment="1" applyProtection="1">
      <alignment horizontal="center" vertical="center" wrapText="1"/>
      <protection locked="0" hidden="1"/>
    </xf>
    <xf numFmtId="0" fontId="1" fillId="0" borderId="62" xfId="0" applyFont="1" applyBorder="1" applyAlignment="1" applyProtection="1">
      <alignment horizontal="center" vertical="center" wrapText="1"/>
      <protection locked="0" hidden="1"/>
    </xf>
    <xf numFmtId="9" fontId="1" fillId="0" borderId="23" xfId="0" applyNumberFormat="1" applyFont="1" applyBorder="1" applyAlignment="1" applyProtection="1">
      <alignment horizontal="center" vertical="center" wrapText="1"/>
      <protection locked="0" hidden="1"/>
    </xf>
    <xf numFmtId="0" fontId="1" fillId="0" borderId="26" xfId="0" applyFont="1" applyBorder="1" applyAlignment="1" applyProtection="1">
      <alignment horizontal="center" vertical="center" wrapText="1"/>
      <protection locked="0" hidden="1"/>
    </xf>
    <xf numFmtId="0" fontId="2" fillId="0" borderId="26" xfId="0" applyFont="1" applyBorder="1" applyAlignment="1" applyProtection="1">
      <alignment horizontal="center" vertical="center" wrapText="1"/>
      <protection locked="0" hidden="1"/>
    </xf>
    <xf numFmtId="0" fontId="4" fillId="23" borderId="19" xfId="0" applyFont="1" applyFill="1" applyBorder="1" applyAlignment="1" applyProtection="1">
      <alignment horizontal="center" vertical="center" wrapText="1"/>
      <protection hidden="1"/>
    </xf>
    <xf numFmtId="9" fontId="1" fillId="23" borderId="24" xfId="0" applyNumberFormat="1" applyFont="1" applyFill="1" applyBorder="1" applyAlignment="1" applyProtection="1">
      <alignment horizontal="center" vertical="center" wrapText="1"/>
      <protection hidden="1"/>
    </xf>
    <xf numFmtId="0" fontId="4" fillId="19" borderId="76" xfId="0" applyFont="1" applyFill="1" applyBorder="1" applyAlignment="1">
      <alignment horizontal="center" vertical="center" textRotation="90"/>
    </xf>
    <xf numFmtId="0" fontId="4" fillId="19" borderId="76" xfId="0" applyFont="1" applyFill="1" applyBorder="1" applyAlignment="1">
      <alignment horizontal="center" vertical="center" textRotation="90" wrapText="1"/>
    </xf>
    <xf numFmtId="0" fontId="64" fillId="3" borderId="62" xfId="0" applyFont="1" applyFill="1" applyBorder="1" applyAlignment="1">
      <alignment horizontal="center" vertical="center"/>
    </xf>
    <xf numFmtId="0" fontId="3" fillId="0" borderId="19" xfId="0" applyFont="1" applyBorder="1" applyAlignment="1">
      <alignment horizontal="center" vertical="center" wrapText="1"/>
    </xf>
    <xf numFmtId="0" fontId="71" fillId="0" borderId="19" xfId="0" applyFont="1" applyBorder="1" applyAlignment="1">
      <alignment horizontal="center" vertical="center" wrapText="1"/>
    </xf>
    <xf numFmtId="0" fontId="36" fillId="0" borderId="19" xfId="0" applyFont="1" applyBorder="1" applyAlignment="1">
      <alignment horizontal="center" vertical="center" wrapText="1"/>
    </xf>
    <xf numFmtId="0" fontId="72" fillId="0" borderId="19" xfId="0" applyFont="1" applyBorder="1" applyAlignment="1">
      <alignment horizontal="center" vertical="center" wrapText="1"/>
    </xf>
    <xf numFmtId="0" fontId="1" fillId="0" borderId="0" xfId="0" applyFont="1" applyAlignment="1" applyProtection="1">
      <alignment horizontal="center" vertical="center" wrapText="1"/>
      <protection locked="0"/>
    </xf>
    <xf numFmtId="0" fontId="6" fillId="0" borderId="19" xfId="0" applyFont="1" applyBorder="1" applyAlignment="1" applyProtection="1">
      <alignment horizontal="left" vertical="center" wrapText="1"/>
      <protection locked="0" hidden="1"/>
    </xf>
    <xf numFmtId="0" fontId="1" fillId="0" borderId="0" xfId="0" applyFont="1" applyAlignment="1" applyProtection="1">
      <alignment horizontal="center" vertical="center"/>
      <protection hidden="1"/>
    </xf>
    <xf numFmtId="0" fontId="1" fillId="0" borderId="0" xfId="0" applyFont="1" applyAlignment="1" applyProtection="1">
      <alignment horizontal="center" vertical="center" wrapText="1"/>
      <protection locked="0" hidden="1"/>
    </xf>
    <xf numFmtId="0" fontId="2" fillId="0" borderId="0" xfId="0" applyFont="1" applyAlignment="1" applyProtection="1">
      <alignment horizontal="center" vertical="center" wrapText="1"/>
      <protection locked="0" hidden="1"/>
    </xf>
    <xf numFmtId="0" fontId="1" fillId="0" borderId="0" xfId="0" applyFont="1" applyAlignment="1" applyProtection="1">
      <alignment horizontal="center" vertical="center"/>
      <protection locked="0" hidden="1"/>
    </xf>
    <xf numFmtId="0" fontId="4" fillId="23" borderId="0" xfId="0" applyFont="1" applyFill="1" applyAlignment="1" applyProtection="1">
      <alignment horizontal="center" vertical="center" wrapText="1"/>
      <protection hidden="1"/>
    </xf>
    <xf numFmtId="9" fontId="1" fillId="23" borderId="0" xfId="0" applyNumberFormat="1" applyFont="1" applyFill="1" applyAlignment="1" applyProtection="1">
      <alignment horizontal="center" vertical="center" wrapText="1"/>
      <protection hidden="1"/>
    </xf>
    <xf numFmtId="9" fontId="1" fillId="0" borderId="0" xfId="0" applyNumberFormat="1" applyFont="1" applyAlignment="1" applyProtection="1">
      <alignment horizontal="center" vertical="center" wrapText="1"/>
      <protection locked="0" hidden="1"/>
    </xf>
    <xf numFmtId="9" fontId="1" fillId="0" borderId="0" xfId="0" applyNumberFormat="1" applyFont="1" applyAlignment="1" applyProtection="1">
      <alignment vertical="center" wrapText="1"/>
      <protection hidden="1"/>
    </xf>
    <xf numFmtId="0" fontId="4" fillId="0" borderId="0" xfId="0" applyFont="1" applyAlignment="1" applyProtection="1">
      <alignment horizontal="center" vertical="center"/>
      <protection hidden="1"/>
    </xf>
    <xf numFmtId="0" fontId="1" fillId="23" borderId="23" xfId="0" applyFont="1" applyFill="1" applyBorder="1" applyAlignment="1" applyProtection="1">
      <alignment horizontal="center" vertical="center" wrapText="1"/>
      <protection hidden="1"/>
    </xf>
    <xf numFmtId="0" fontId="1" fillId="0" borderId="19" xfId="0" applyFont="1" applyBorder="1" applyAlignment="1" applyProtection="1">
      <alignment horizontal="center" vertical="center" textRotation="90" wrapText="1"/>
      <protection locked="0" hidden="1"/>
    </xf>
    <xf numFmtId="0" fontId="1" fillId="23" borderId="19" xfId="0" applyFont="1" applyFill="1" applyBorder="1" applyAlignment="1" applyProtection="1">
      <alignment horizontal="center" vertical="center" wrapText="1"/>
      <protection hidden="1"/>
    </xf>
    <xf numFmtId="0" fontId="1" fillId="23" borderId="24" xfId="0" applyFont="1" applyFill="1" applyBorder="1" applyAlignment="1" applyProtection="1">
      <alignment horizontal="center" vertical="center" textRotation="90" wrapText="1"/>
      <protection hidden="1"/>
    </xf>
    <xf numFmtId="164" fontId="1" fillId="23" borderId="64" xfId="1" applyNumberFormat="1" applyFont="1" applyFill="1" applyBorder="1" applyAlignment="1" applyProtection="1">
      <alignment horizontal="center" vertical="center" wrapText="1"/>
      <protection hidden="1"/>
    </xf>
    <xf numFmtId="0" fontId="1" fillId="23" borderId="19" xfId="0" applyFont="1" applyFill="1" applyBorder="1" applyAlignment="1" applyProtection="1">
      <alignment horizontal="center" vertical="center" textRotation="90" wrapText="1"/>
      <protection hidden="1"/>
    </xf>
    <xf numFmtId="0" fontId="1" fillId="0" borderId="62" xfId="0" applyFont="1" applyBorder="1" applyAlignment="1" applyProtection="1">
      <alignment horizontal="center" vertical="center" textRotation="90" wrapText="1"/>
      <protection locked="0" hidden="1"/>
    </xf>
    <xf numFmtId="0" fontId="1" fillId="0" borderId="23" xfId="0" applyFont="1" applyBorder="1" applyAlignment="1" applyProtection="1">
      <alignment horizontal="center" vertical="center" wrapText="1"/>
      <protection hidden="1"/>
    </xf>
    <xf numFmtId="0" fontId="1" fillId="0" borderId="23" xfId="0" applyFont="1" applyBorder="1" applyAlignment="1" applyProtection="1">
      <alignment horizontal="center" vertical="center" wrapText="1"/>
      <protection locked="0" hidden="1"/>
    </xf>
    <xf numFmtId="0" fontId="4" fillId="0" borderId="75" xfId="0" applyFont="1" applyBorder="1" applyAlignment="1" applyProtection="1">
      <alignment horizontal="center" vertical="center" wrapText="1"/>
      <protection hidden="1"/>
    </xf>
    <xf numFmtId="0" fontId="1" fillId="0" borderId="25" xfId="0" applyFont="1" applyBorder="1" applyAlignment="1" applyProtection="1">
      <alignment horizontal="center" vertical="center" wrapText="1"/>
      <protection locked="0" hidden="1"/>
    </xf>
    <xf numFmtId="0" fontId="1" fillId="0" borderId="77" xfId="0" applyFont="1" applyBorder="1" applyAlignment="1" applyProtection="1">
      <alignment horizontal="center" vertical="center" wrapText="1"/>
      <protection hidden="1"/>
    </xf>
    <xf numFmtId="0" fontId="1" fillId="0" borderId="25" xfId="0" applyFont="1" applyBorder="1" applyAlignment="1" applyProtection="1">
      <alignment horizontal="center" vertical="center" wrapText="1"/>
      <protection hidden="1"/>
    </xf>
    <xf numFmtId="0" fontId="0" fillId="3" borderId="61" xfId="0" applyFill="1" applyBorder="1" applyAlignment="1">
      <alignment horizontal="center"/>
    </xf>
    <xf numFmtId="0" fontId="0" fillId="3" borderId="20" xfId="0" applyFill="1" applyBorder="1" applyAlignment="1">
      <alignment horizontal="center"/>
    </xf>
    <xf numFmtId="0" fontId="55" fillId="3" borderId="61" xfId="0" applyFont="1" applyFill="1" applyBorder="1" applyAlignment="1">
      <alignment horizontal="center" vertical="center" wrapText="1"/>
    </xf>
    <xf numFmtId="0" fontId="55" fillId="3" borderId="20" xfId="0" applyFont="1" applyFill="1" applyBorder="1" applyAlignment="1">
      <alignment horizontal="center" vertical="center"/>
    </xf>
    <xf numFmtId="0" fontId="56" fillId="3" borderId="62" xfId="0" applyFont="1" applyFill="1" applyBorder="1" applyAlignment="1">
      <alignment horizontal="center" vertical="center"/>
    </xf>
    <xf numFmtId="0" fontId="56" fillId="3" borderId="63" xfId="0" applyFont="1" applyFill="1" applyBorder="1" applyAlignment="1">
      <alignment horizontal="center" vertical="center"/>
    </xf>
    <xf numFmtId="0" fontId="56" fillId="3" borderId="64" xfId="0" applyFont="1" applyFill="1" applyBorder="1" applyAlignment="1">
      <alignment horizontal="center" vertical="center"/>
    </xf>
    <xf numFmtId="0" fontId="45" fillId="14" borderId="34" xfId="2" applyFont="1" applyFill="1" applyBorder="1" applyAlignment="1">
      <alignment horizontal="center" vertical="center" wrapText="1"/>
    </xf>
    <xf numFmtId="0" fontId="45" fillId="14" borderId="35" xfId="2" applyFont="1" applyFill="1" applyBorder="1" applyAlignment="1">
      <alignment horizontal="center" vertical="center" wrapText="1"/>
    </xf>
    <xf numFmtId="0" fontId="45" fillId="14" borderId="36" xfId="2" applyFont="1" applyFill="1" applyBorder="1" applyAlignment="1">
      <alignment horizontal="center" vertical="center" wrapText="1"/>
    </xf>
    <xf numFmtId="0" fontId="44" fillId="0" borderId="5" xfId="2" quotePrefix="1" applyFont="1" applyBorder="1" applyAlignment="1">
      <alignment horizontal="left" vertical="center" wrapText="1"/>
    </xf>
    <xf numFmtId="0" fontId="44" fillId="0" borderId="0" xfId="2" quotePrefix="1" applyFont="1" applyAlignment="1">
      <alignment horizontal="left" vertical="center" wrapText="1"/>
    </xf>
    <xf numFmtId="0" fontId="44" fillId="0" borderId="6" xfId="2" quotePrefix="1" applyFont="1" applyBorder="1" applyAlignment="1">
      <alignment horizontal="left" vertical="center" wrapText="1"/>
    </xf>
    <xf numFmtId="0" fontId="44" fillId="0" borderId="54" xfId="2" quotePrefix="1" applyFont="1" applyBorder="1" applyAlignment="1">
      <alignment horizontal="left" vertical="center" wrapText="1"/>
    </xf>
    <xf numFmtId="0" fontId="44" fillId="0" borderId="55" xfId="2" quotePrefix="1" applyFont="1" applyBorder="1" applyAlignment="1">
      <alignment horizontal="left" vertical="center" wrapText="1"/>
    </xf>
    <xf numFmtId="0" fontId="44" fillId="0" borderId="56" xfId="2" quotePrefix="1" applyFont="1" applyBorder="1" applyAlignment="1">
      <alignment horizontal="left" vertical="center" wrapText="1"/>
    </xf>
    <xf numFmtId="0" fontId="46" fillId="3" borderId="37" xfId="2" quotePrefix="1" applyFont="1" applyFill="1" applyBorder="1" applyAlignment="1">
      <alignment horizontal="left" vertical="top" wrapText="1"/>
    </xf>
    <xf numFmtId="0" fontId="47" fillId="3" borderId="38" xfId="2" quotePrefix="1" applyFont="1" applyFill="1" applyBorder="1" applyAlignment="1">
      <alignment horizontal="left" vertical="top" wrapText="1"/>
    </xf>
    <xf numFmtId="0" fontId="47" fillId="3" borderId="39" xfId="2" quotePrefix="1" applyFont="1" applyFill="1" applyBorder="1" applyAlignment="1">
      <alignment horizontal="left" vertical="top" wrapText="1"/>
    </xf>
    <xf numFmtId="0" fontId="44" fillId="0" borderId="5" xfId="2" quotePrefix="1" applyFont="1" applyBorder="1" applyAlignment="1">
      <alignment horizontal="left" vertical="top" wrapText="1"/>
    </xf>
    <xf numFmtId="0" fontId="44" fillId="0" borderId="0" xfId="2" quotePrefix="1" applyFont="1" applyAlignment="1">
      <alignment horizontal="left" vertical="top" wrapText="1"/>
    </xf>
    <xf numFmtId="0" fontId="44" fillId="0" borderId="6" xfId="2" quotePrefix="1" applyFont="1" applyBorder="1" applyAlignment="1">
      <alignment horizontal="left" vertical="top" wrapText="1"/>
    </xf>
    <xf numFmtId="0" fontId="49" fillId="14" borderId="40" xfId="3" applyFont="1" applyFill="1" applyBorder="1" applyAlignment="1">
      <alignment horizontal="center" vertical="center" wrapText="1"/>
    </xf>
    <xf numFmtId="0" fontId="49" fillId="14" borderId="41" xfId="3" applyFont="1" applyFill="1" applyBorder="1" applyAlignment="1">
      <alignment horizontal="center" vertical="center" wrapText="1"/>
    </xf>
    <xf numFmtId="0" fontId="49" fillId="14" borderId="42" xfId="2" applyFont="1" applyFill="1" applyBorder="1" applyAlignment="1">
      <alignment horizontal="center" vertical="center"/>
    </xf>
    <xf numFmtId="0" fontId="49"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49" fillId="3" borderId="44" xfId="3" applyFont="1" applyFill="1" applyBorder="1" applyAlignment="1">
      <alignment horizontal="left" vertical="top" wrapText="1" readingOrder="1"/>
    </xf>
    <xf numFmtId="0" fontId="49" fillId="3" borderId="45" xfId="3" applyFont="1" applyFill="1" applyBorder="1" applyAlignment="1">
      <alignment horizontal="left" vertical="top" wrapText="1" readingOrder="1"/>
    </xf>
    <xf numFmtId="0" fontId="50" fillId="3" borderId="46" xfId="2" applyFont="1" applyFill="1" applyBorder="1" applyAlignment="1">
      <alignment horizontal="justify" vertical="center" wrapText="1"/>
    </xf>
    <xf numFmtId="0" fontId="50" fillId="3" borderId="47" xfId="2" applyFont="1" applyFill="1" applyBorder="1" applyAlignment="1">
      <alignment horizontal="justify" vertical="center" wrapText="1"/>
    </xf>
    <xf numFmtId="0" fontId="49" fillId="3" borderId="48" xfId="0" applyFont="1" applyFill="1" applyBorder="1" applyAlignment="1">
      <alignment horizontal="left" vertical="center" wrapText="1"/>
    </xf>
    <xf numFmtId="0" fontId="49" fillId="3" borderId="49" xfId="0" applyFont="1" applyFill="1" applyBorder="1" applyAlignment="1">
      <alignment horizontal="left" vertical="center" wrapText="1"/>
    </xf>
    <xf numFmtId="0" fontId="50" fillId="3" borderId="50" xfId="2" applyFont="1" applyFill="1" applyBorder="1" applyAlignment="1">
      <alignment horizontal="justify" vertical="center" wrapText="1"/>
    </xf>
    <xf numFmtId="0" fontId="50" fillId="3" borderId="51" xfId="2" applyFont="1" applyFill="1" applyBorder="1" applyAlignment="1">
      <alignment horizontal="justify" vertical="center" wrapText="1"/>
    </xf>
    <xf numFmtId="0" fontId="44" fillId="3" borderId="5" xfId="2" applyFont="1" applyFill="1" applyBorder="1" applyAlignment="1">
      <alignment horizontal="left" vertical="top" wrapText="1"/>
    </xf>
    <xf numFmtId="0" fontId="44" fillId="3" borderId="0" xfId="2" applyFont="1" applyFill="1" applyAlignment="1">
      <alignment horizontal="left" vertical="top" wrapText="1"/>
    </xf>
    <xf numFmtId="0" fontId="44" fillId="3" borderId="6" xfId="2" applyFont="1" applyFill="1" applyBorder="1" applyAlignment="1">
      <alignment horizontal="left" vertical="top" wrapText="1"/>
    </xf>
    <xf numFmtId="0" fontId="49" fillId="3" borderId="57" xfId="0" applyFont="1" applyFill="1" applyBorder="1" applyAlignment="1">
      <alignment horizontal="left" vertical="center" wrapText="1"/>
    </xf>
    <xf numFmtId="0" fontId="49" fillId="3" borderId="58" xfId="0" applyFont="1" applyFill="1" applyBorder="1" applyAlignment="1">
      <alignment horizontal="left" vertical="center" wrapText="1"/>
    </xf>
    <xf numFmtId="0" fontId="49" fillId="3" borderId="59" xfId="0" applyFont="1" applyFill="1" applyBorder="1" applyAlignment="1">
      <alignment horizontal="left" vertical="center" wrapText="1"/>
    </xf>
    <xf numFmtId="0" fontId="49" fillId="3" borderId="60" xfId="0" applyFont="1" applyFill="1" applyBorder="1" applyAlignment="1">
      <alignment horizontal="left" vertical="center" wrapText="1"/>
    </xf>
    <xf numFmtId="0" fontId="50" fillId="3" borderId="52" xfId="0" applyFont="1" applyFill="1" applyBorder="1" applyAlignment="1">
      <alignment horizontal="justify" vertical="center" wrapText="1"/>
    </xf>
    <xf numFmtId="0" fontId="50" fillId="3" borderId="53" xfId="0" applyFont="1" applyFill="1" applyBorder="1" applyAlignment="1">
      <alignment horizontal="justify" vertical="center" wrapText="1"/>
    </xf>
    <xf numFmtId="0" fontId="4" fillId="19" borderId="30" xfId="0" applyFont="1" applyFill="1" applyBorder="1" applyAlignment="1">
      <alignment horizontal="center" vertical="center"/>
    </xf>
    <xf numFmtId="0" fontId="4" fillId="19" borderId="31" xfId="0" applyFont="1" applyFill="1" applyBorder="1" applyAlignment="1">
      <alignment horizontal="center" vertical="center"/>
    </xf>
    <xf numFmtId="0" fontId="4" fillId="19" borderId="32" xfId="0" applyFont="1" applyFill="1" applyBorder="1" applyAlignment="1">
      <alignment horizontal="center" vertical="center"/>
    </xf>
    <xf numFmtId="0" fontId="64" fillId="3" borderId="62" xfId="0" applyFont="1" applyFill="1" applyBorder="1" applyAlignment="1">
      <alignment horizontal="center" vertical="center"/>
    </xf>
    <xf numFmtId="0" fontId="64" fillId="3" borderId="63" xfId="0" applyFont="1" applyFill="1" applyBorder="1" applyAlignment="1">
      <alignment horizontal="center" vertical="center"/>
    </xf>
    <xf numFmtId="0" fontId="64" fillId="3" borderId="64" xfId="0" applyFont="1" applyFill="1" applyBorder="1" applyAlignment="1">
      <alignment horizontal="center" vertical="center"/>
    </xf>
    <xf numFmtId="0" fontId="67" fillId="3" borderId="67" xfId="0" applyFont="1" applyFill="1" applyBorder="1" applyAlignment="1">
      <alignment horizontal="center" vertical="center" wrapText="1"/>
    </xf>
    <xf numFmtId="0" fontId="67" fillId="3" borderId="68" xfId="0" applyFont="1" applyFill="1" applyBorder="1" applyAlignment="1">
      <alignment horizontal="center" vertical="center" wrapText="1"/>
    </xf>
    <xf numFmtId="0" fontId="67" fillId="3" borderId="69" xfId="0" applyFont="1" applyFill="1" applyBorder="1" applyAlignment="1">
      <alignment horizontal="center" vertical="center" wrapText="1"/>
    </xf>
    <xf numFmtId="0" fontId="67" fillId="3" borderId="70" xfId="0" applyFont="1" applyFill="1" applyBorder="1" applyAlignment="1">
      <alignment horizontal="center" vertical="center" wrapText="1"/>
    </xf>
    <xf numFmtId="0" fontId="8" fillId="3" borderId="62" xfId="0" applyFont="1" applyFill="1" applyBorder="1" applyAlignment="1" applyProtection="1">
      <alignment horizontal="center" vertical="center"/>
      <protection locked="0"/>
    </xf>
    <xf numFmtId="0" fontId="8" fillId="3" borderId="6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24" fillId="18" borderId="19" xfId="0" applyFont="1" applyFill="1" applyBorder="1" applyAlignment="1">
      <alignment horizontal="center" vertical="center"/>
    </xf>
    <xf numFmtId="0" fontId="0" fillId="3" borderId="62" xfId="0" applyFill="1" applyBorder="1" applyAlignment="1">
      <alignment horizontal="center"/>
    </xf>
    <xf numFmtId="0" fontId="0" fillId="3" borderId="63" xfId="0" applyFill="1" applyBorder="1" applyAlignment="1">
      <alignment horizontal="center"/>
    </xf>
    <xf numFmtId="0" fontId="0" fillId="3" borderId="64" xfId="0" applyFill="1" applyBorder="1" applyAlignment="1">
      <alignment horizontal="center"/>
    </xf>
    <xf numFmtId="0" fontId="0" fillId="3" borderId="67" xfId="0" applyFill="1" applyBorder="1" applyAlignment="1">
      <alignment horizontal="center"/>
    </xf>
    <xf numFmtId="0" fontId="0" fillId="3" borderId="68" xfId="0" applyFill="1" applyBorder="1" applyAlignment="1">
      <alignment horizontal="center"/>
    </xf>
    <xf numFmtId="0" fontId="0" fillId="3" borderId="69" xfId="0" applyFill="1" applyBorder="1" applyAlignment="1">
      <alignment horizontal="center"/>
    </xf>
    <xf numFmtId="0" fontId="0" fillId="3" borderId="70" xfId="0" applyFill="1" applyBorder="1" applyAlignment="1">
      <alignment horizontal="center"/>
    </xf>
    <xf numFmtId="0" fontId="24" fillId="18" borderId="19" xfId="0" applyFont="1" applyFill="1" applyBorder="1" applyAlignment="1">
      <alignment horizontal="center" vertical="center" wrapText="1"/>
    </xf>
    <xf numFmtId="0" fontId="4" fillId="19" borderId="21" xfId="0" applyFont="1" applyFill="1" applyBorder="1" applyAlignment="1">
      <alignment horizontal="center" vertical="center"/>
    </xf>
    <xf numFmtId="0" fontId="4" fillId="19" borderId="22" xfId="0" applyFont="1" applyFill="1" applyBorder="1" applyAlignment="1">
      <alignment horizontal="center" vertical="center"/>
    </xf>
    <xf numFmtId="0" fontId="24" fillId="0" borderId="67" xfId="0" applyFont="1" applyBorder="1" applyAlignment="1">
      <alignment horizontal="center" vertical="center"/>
    </xf>
    <xf numFmtId="0" fontId="24" fillId="0" borderId="38"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24" fillId="0" borderId="55" xfId="0" applyFont="1" applyBorder="1" applyAlignment="1">
      <alignment horizontal="center" vertical="center"/>
    </xf>
    <xf numFmtId="0" fontId="24" fillId="0" borderId="70" xfId="0" applyFont="1" applyBorder="1" applyAlignment="1">
      <alignment horizontal="center" vertical="center"/>
    </xf>
    <xf numFmtId="0" fontId="24" fillId="18" borderId="61" xfId="0" applyFont="1" applyFill="1" applyBorder="1" applyAlignment="1">
      <alignment horizontal="center" vertical="center"/>
    </xf>
    <xf numFmtId="0" fontId="24" fillId="18" borderId="20" xfId="0" applyFont="1" applyFill="1" applyBorder="1" applyAlignment="1">
      <alignment horizontal="center" vertical="center"/>
    </xf>
    <xf numFmtId="0" fontId="1" fillId="0" borderId="74" xfId="0" applyFont="1" applyBorder="1" applyAlignment="1">
      <alignment horizontal="center" vertical="center"/>
    </xf>
    <xf numFmtId="0" fontId="1" fillId="0" borderId="0" xfId="0" applyFont="1" applyAlignment="1">
      <alignment horizontal="center" vertical="center"/>
    </xf>
    <xf numFmtId="0" fontId="1" fillId="0" borderId="69"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70" xfId="0" applyFont="1" applyBorder="1" applyAlignment="1">
      <alignment horizontal="center" vertical="center" wrapText="1"/>
    </xf>
    <xf numFmtId="0" fontId="4" fillId="21" borderId="71" xfId="0" applyFont="1" applyFill="1" applyBorder="1" applyAlignment="1">
      <alignment horizontal="center" vertical="center" wrapText="1"/>
    </xf>
    <xf numFmtId="0" fontId="4" fillId="21" borderId="23" xfId="0" applyFont="1" applyFill="1" applyBorder="1" applyAlignment="1">
      <alignment horizontal="center" vertical="center" wrapText="1"/>
    </xf>
    <xf numFmtId="0" fontId="4" fillId="21" borderId="73"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21" borderId="72" xfId="0" applyFont="1" applyFill="1" applyBorder="1" applyAlignment="1">
      <alignment horizontal="center" vertical="center"/>
    </xf>
    <xf numFmtId="0" fontId="4" fillId="21" borderId="24" xfId="0" applyFont="1" applyFill="1" applyBorder="1" applyAlignment="1">
      <alignment horizontal="center" vertical="center"/>
    </xf>
    <xf numFmtId="0" fontId="4" fillId="19" borderId="56" xfId="0" applyFont="1" applyFill="1" applyBorder="1" applyAlignment="1">
      <alignment horizontal="center" vertical="center" wrapText="1"/>
    </xf>
    <xf numFmtId="0" fontId="4" fillId="19" borderId="75" xfId="0" applyFont="1" applyFill="1" applyBorder="1" applyAlignment="1">
      <alignment horizontal="center" vertical="center" wrapText="1"/>
    </xf>
    <xf numFmtId="0" fontId="24" fillId="19" borderId="28" xfId="0" applyFont="1" applyFill="1" applyBorder="1" applyAlignment="1">
      <alignment horizontal="center" vertical="center" textRotation="90"/>
    </xf>
    <xf numFmtId="0" fontId="24" fillId="19" borderId="23" xfId="0" applyFont="1" applyFill="1" applyBorder="1" applyAlignment="1">
      <alignment horizontal="center" vertical="center" textRotation="90"/>
    </xf>
    <xf numFmtId="0" fontId="4" fillId="19" borderId="20" xfId="0" applyFont="1" applyFill="1" applyBorder="1" applyAlignment="1">
      <alignment horizontal="center" vertical="center"/>
    </xf>
    <xf numFmtId="0" fontId="4" fillId="19" borderId="19" xfId="0" applyFont="1" applyFill="1" applyBorder="1" applyAlignment="1">
      <alignment horizontal="center" vertical="center"/>
    </xf>
    <xf numFmtId="0" fontId="4" fillId="19" borderId="20" xfId="0" applyFont="1" applyFill="1" applyBorder="1" applyAlignment="1">
      <alignment horizontal="center" vertical="center" wrapText="1"/>
    </xf>
    <xf numFmtId="0" fontId="4" fillId="19" borderId="19" xfId="0" applyFont="1" applyFill="1" applyBorder="1" applyAlignment="1">
      <alignment horizontal="center" vertical="center" wrapText="1"/>
    </xf>
    <xf numFmtId="0" fontId="4" fillId="19" borderId="69" xfId="0" applyFont="1" applyFill="1" applyBorder="1" applyAlignment="1">
      <alignment horizontal="center" vertical="center" wrapText="1"/>
    </xf>
    <xf numFmtId="0" fontId="4" fillId="19" borderId="62" xfId="0" applyFont="1" applyFill="1" applyBorder="1" applyAlignment="1">
      <alignment horizontal="center" vertical="center" wrapText="1"/>
    </xf>
    <xf numFmtId="0" fontId="4" fillId="20" borderId="71" xfId="0" applyFont="1" applyFill="1" applyBorder="1" applyAlignment="1">
      <alignment horizontal="center" vertical="center" wrapText="1"/>
    </xf>
    <xf numFmtId="0" fontId="4" fillId="20" borderId="23" xfId="0" applyFont="1" applyFill="1" applyBorder="1" applyAlignment="1">
      <alignment horizontal="center" vertical="center" wrapText="1"/>
    </xf>
    <xf numFmtId="0" fontId="4" fillId="20" borderId="73"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20" borderId="72" xfId="0" applyFont="1" applyFill="1" applyBorder="1" applyAlignment="1">
      <alignment horizontal="center" vertical="center"/>
    </xf>
    <xf numFmtId="0" fontId="4" fillId="20" borderId="24" xfId="0" applyFont="1" applyFill="1" applyBorder="1" applyAlignment="1">
      <alignment horizontal="center" vertical="center"/>
    </xf>
    <xf numFmtId="0" fontId="20" fillId="11" borderId="10"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3" fillId="0" borderId="0" xfId="0" applyFont="1" applyAlignment="1">
      <alignment horizontal="center" vertical="center" wrapText="1"/>
    </xf>
    <xf numFmtId="0" fontId="20" fillId="5" borderId="5"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7" xfId="0" applyFont="1" applyFill="1" applyBorder="1" applyAlignment="1" applyProtection="1">
      <alignment horizontal="center" vertical="center" wrapText="1" readingOrder="1"/>
      <protection hidden="1"/>
    </xf>
    <xf numFmtId="0" fontId="20" fillId="5" borderId="9" xfId="0" applyFont="1" applyFill="1" applyBorder="1" applyAlignment="1" applyProtection="1">
      <alignment horizontal="center" vertical="center" wrapText="1" readingOrder="1"/>
      <protection hidden="1"/>
    </xf>
    <xf numFmtId="0" fontId="20" fillId="5" borderId="6" xfId="0" applyFont="1" applyFill="1" applyBorder="1" applyAlignment="1" applyProtection="1">
      <alignment horizontal="center" vertical="center" wrapText="1" readingOrder="1"/>
      <protection hidden="1"/>
    </xf>
    <xf numFmtId="0" fontId="20" fillId="5" borderId="8" xfId="0" applyFont="1" applyFill="1" applyBorder="1" applyAlignment="1" applyProtection="1">
      <alignment horizontal="center" vertical="center" wrapText="1" readingOrder="1"/>
      <protection hidden="1"/>
    </xf>
    <xf numFmtId="0" fontId="20" fillId="5" borderId="3" xfId="0" applyFont="1" applyFill="1" applyBorder="1" applyAlignment="1" applyProtection="1">
      <alignment horizontal="center" vertical="center" wrapText="1" readingOrder="1"/>
      <protection hidden="1"/>
    </xf>
    <xf numFmtId="0" fontId="20" fillId="5" borderId="10" xfId="0" applyFont="1" applyFill="1" applyBorder="1" applyAlignment="1" applyProtection="1">
      <alignment horizontal="center" vertical="center" wrapText="1" readingOrder="1"/>
      <protection hidden="1"/>
    </xf>
    <xf numFmtId="0" fontId="20" fillId="5" borderId="4" xfId="0" applyFont="1" applyFill="1" applyBorder="1" applyAlignment="1" applyProtection="1">
      <alignment horizontal="center" vertical="center" wrapText="1" readingOrder="1"/>
      <protection hidden="1"/>
    </xf>
    <xf numFmtId="0" fontId="20" fillId="13" borderId="5"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7" xfId="0" applyFont="1" applyFill="1" applyBorder="1" applyAlignment="1" applyProtection="1">
      <alignment horizontal="center" vertical="center" wrapText="1" readingOrder="1"/>
      <protection hidden="1"/>
    </xf>
    <xf numFmtId="0" fontId="20" fillId="13" borderId="9" xfId="0" applyFont="1" applyFill="1" applyBorder="1" applyAlignment="1" applyProtection="1">
      <alignment horizontal="center" vertical="center" wrapText="1" readingOrder="1"/>
      <protection hidden="1"/>
    </xf>
    <xf numFmtId="0" fontId="20" fillId="13" borderId="6" xfId="0" applyFont="1" applyFill="1" applyBorder="1" applyAlignment="1" applyProtection="1">
      <alignment horizontal="center" vertical="center" wrapText="1" readingOrder="1"/>
      <protection hidden="1"/>
    </xf>
    <xf numFmtId="0" fontId="20" fillId="13" borderId="8" xfId="0" applyFont="1" applyFill="1" applyBorder="1" applyAlignment="1" applyProtection="1">
      <alignment horizontal="center" vertical="center" wrapText="1" readingOrder="1"/>
      <protection hidden="1"/>
    </xf>
    <xf numFmtId="0" fontId="20" fillId="13" borderId="3" xfId="0" applyFont="1" applyFill="1" applyBorder="1" applyAlignment="1" applyProtection="1">
      <alignment horizontal="center" vertical="center" wrapText="1" readingOrder="1"/>
      <protection hidden="1"/>
    </xf>
    <xf numFmtId="0" fontId="20" fillId="13" borderId="10" xfId="0" applyFont="1" applyFill="1" applyBorder="1" applyAlignment="1" applyProtection="1">
      <alignment horizontal="center" vertical="center" wrapText="1" readingOrder="1"/>
      <protection hidden="1"/>
    </xf>
    <xf numFmtId="0" fontId="20" fillId="13" borderId="4"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7" xfId="0" applyFont="1" applyFill="1" applyBorder="1" applyAlignment="1" applyProtection="1">
      <alignment horizontal="center" vertical="center" wrapText="1" readingOrder="1"/>
      <protection hidden="1"/>
    </xf>
    <xf numFmtId="0" fontId="20" fillId="12" borderId="9" xfId="0" applyFont="1" applyFill="1" applyBorder="1" applyAlignment="1" applyProtection="1">
      <alignment horizontal="center" vertical="center" wrapText="1" readingOrder="1"/>
      <protection hidden="1"/>
    </xf>
    <xf numFmtId="0" fontId="20" fillId="12" borderId="6" xfId="0" applyFont="1" applyFill="1" applyBorder="1" applyAlignment="1" applyProtection="1">
      <alignment horizontal="center" vertical="center" wrapText="1" readingOrder="1"/>
      <protection hidden="1"/>
    </xf>
    <xf numFmtId="0" fontId="20" fillId="12" borderId="8" xfId="0" applyFont="1" applyFill="1" applyBorder="1" applyAlignment="1" applyProtection="1">
      <alignment horizontal="center" vertical="center" wrapText="1" readingOrder="1"/>
      <protection hidden="1"/>
    </xf>
    <xf numFmtId="0" fontId="20" fillId="12" borderId="3" xfId="0" applyFont="1" applyFill="1" applyBorder="1" applyAlignment="1" applyProtection="1">
      <alignment horizontal="center" vertical="center" wrapText="1" readingOrder="1"/>
      <protection hidden="1"/>
    </xf>
    <xf numFmtId="0" fontId="20" fillId="12" borderId="10" xfId="0" applyFont="1" applyFill="1" applyBorder="1" applyAlignment="1" applyProtection="1">
      <alignment horizontal="center" vertical="center" wrapText="1" readingOrder="1"/>
      <protection hidden="1"/>
    </xf>
    <xf numFmtId="0" fontId="20" fillId="12" borderId="4" xfId="0" applyFont="1" applyFill="1" applyBorder="1" applyAlignment="1" applyProtection="1">
      <alignment horizontal="center" vertical="center" wrapText="1" readingOrder="1"/>
      <protection hidden="1"/>
    </xf>
    <xf numFmtId="0" fontId="20" fillId="17" borderId="5" xfId="0" applyFont="1" applyFill="1" applyBorder="1" applyAlignment="1" applyProtection="1">
      <alignment horizontal="center" vertical="center" wrapText="1" readingOrder="1"/>
      <protection hidden="1"/>
    </xf>
    <xf numFmtId="0" fontId="20" fillId="17" borderId="0" xfId="0" applyFont="1" applyFill="1" applyAlignment="1" applyProtection="1">
      <alignment horizontal="center" vertical="center" wrapText="1" readingOrder="1"/>
      <protection hidden="1"/>
    </xf>
    <xf numFmtId="0" fontId="20" fillId="17" borderId="7" xfId="0" applyFont="1" applyFill="1" applyBorder="1" applyAlignment="1" applyProtection="1">
      <alignment horizontal="center" vertical="center" wrapText="1" readingOrder="1"/>
      <protection hidden="1"/>
    </xf>
    <xf numFmtId="0" fontId="20" fillId="17" borderId="9" xfId="0" applyFont="1" applyFill="1" applyBorder="1" applyAlignment="1" applyProtection="1">
      <alignment horizontal="center" vertical="center" wrapText="1" readingOrder="1"/>
      <protection hidden="1"/>
    </xf>
    <xf numFmtId="0" fontId="20" fillId="17" borderId="6" xfId="0" applyFont="1" applyFill="1" applyBorder="1" applyAlignment="1" applyProtection="1">
      <alignment horizontal="center" vertical="center" wrapText="1" readingOrder="1"/>
      <protection hidden="1"/>
    </xf>
    <xf numFmtId="0" fontId="20" fillId="17" borderId="8" xfId="0" applyFont="1" applyFill="1" applyBorder="1" applyAlignment="1" applyProtection="1">
      <alignment horizontal="center" vertical="center" wrapText="1" readingOrder="1"/>
      <protection hidden="1"/>
    </xf>
    <xf numFmtId="0" fontId="20" fillId="17" borderId="3" xfId="0" applyFont="1" applyFill="1" applyBorder="1" applyAlignment="1" applyProtection="1">
      <alignment horizontal="center" vertical="center" wrapText="1" readingOrder="1"/>
      <protection hidden="1"/>
    </xf>
    <xf numFmtId="0" fontId="20" fillId="17" borderId="10" xfId="0" applyFont="1" applyFill="1" applyBorder="1" applyAlignment="1" applyProtection="1">
      <alignment horizontal="center" vertical="center" wrapText="1" readingOrder="1"/>
      <protection hidden="1"/>
    </xf>
    <xf numFmtId="0" fontId="20" fillId="17" borderId="4" xfId="0" applyFont="1" applyFill="1" applyBorder="1" applyAlignment="1" applyProtection="1">
      <alignment horizontal="center" vertical="center" wrapText="1" readingOrder="1"/>
      <protection hidden="1"/>
    </xf>
    <xf numFmtId="0" fontId="18"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20" fillId="11" borderId="5"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0" fillId="0" borderId="19" xfId="0" applyBorder="1" applyAlignment="1">
      <alignment horizontal="center"/>
    </xf>
    <xf numFmtId="0" fontId="57" fillId="0" borderId="19" xfId="0" applyFont="1" applyBorder="1" applyAlignment="1">
      <alignment horizontal="center" vertical="center"/>
    </xf>
    <xf numFmtId="0" fontId="65" fillId="0" borderId="19" xfId="0" applyFont="1" applyBorder="1" applyAlignment="1">
      <alignment horizontal="center" vertical="center"/>
    </xf>
    <xf numFmtId="0" fontId="58" fillId="0" borderId="19" xfId="0" applyFont="1" applyBorder="1" applyAlignment="1">
      <alignment horizontal="center" vertical="center" wrapText="1"/>
    </xf>
    <xf numFmtId="0" fontId="58" fillId="0" borderId="19" xfId="0" applyFont="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8" fillId="0" borderId="5" xfId="0" applyFont="1" applyBorder="1" applyAlignment="1">
      <alignment horizontal="center" vertical="center" wrapText="1"/>
    </xf>
    <xf numFmtId="0" fontId="19" fillId="10" borderId="0" xfId="0" applyFont="1" applyFill="1" applyAlignment="1">
      <alignment horizontal="center" vertical="center" wrapText="1" readingOrder="1"/>
    </xf>
    <xf numFmtId="0" fontId="4" fillId="19" borderId="76" xfId="0" applyFont="1" applyFill="1" applyBorder="1" applyAlignment="1">
      <alignment horizontal="center" vertical="center" wrapText="1"/>
    </xf>
    <xf numFmtId="0" fontId="4" fillId="22" borderId="76" xfId="0" applyFont="1" applyFill="1" applyBorder="1" applyAlignment="1">
      <alignment horizontal="center" vertical="center" textRotation="90" wrapText="1"/>
    </xf>
    <xf numFmtId="0" fontId="0" fillId="3" borderId="19" xfId="0" applyFill="1" applyBorder="1" applyAlignment="1">
      <alignment horizontal="center" wrapText="1"/>
    </xf>
    <xf numFmtId="0" fontId="4" fillId="19" borderId="76" xfId="0" applyFont="1" applyFill="1" applyBorder="1" applyAlignment="1">
      <alignment horizontal="center" vertical="center" textRotation="90" wrapText="1"/>
    </xf>
    <xf numFmtId="0" fontId="4" fillId="19" borderId="76" xfId="0" applyFont="1" applyFill="1" applyBorder="1" applyAlignment="1">
      <alignment horizontal="center" vertical="center"/>
    </xf>
    <xf numFmtId="0" fontId="63" fillId="3" borderId="38" xfId="0" applyFont="1" applyFill="1" applyBorder="1" applyAlignment="1">
      <alignment horizontal="center" vertical="center"/>
    </xf>
    <xf numFmtId="0" fontId="63" fillId="3" borderId="68" xfId="0" applyFont="1" applyFill="1" applyBorder="1" applyAlignment="1">
      <alignment horizontal="center" vertical="center"/>
    </xf>
    <xf numFmtId="0" fontId="64" fillId="3" borderId="19" xfId="0" applyFont="1" applyFill="1" applyBorder="1" applyAlignment="1">
      <alignment horizontal="center" vertical="center"/>
    </xf>
    <xf numFmtId="9" fontId="4" fillId="16" borderId="76" xfId="1" applyFont="1" applyFill="1" applyBorder="1" applyAlignment="1">
      <alignment horizontal="center" vertical="center" textRotation="90" wrapText="1"/>
    </xf>
    <xf numFmtId="0" fontId="69" fillId="3" borderId="67" xfId="0" applyFont="1" applyFill="1" applyBorder="1" applyAlignment="1">
      <alignment horizontal="center" vertical="center" wrapText="1"/>
    </xf>
    <xf numFmtId="0" fontId="69" fillId="3" borderId="68" xfId="0" applyFont="1" applyFill="1" applyBorder="1" applyAlignment="1">
      <alignment horizontal="center" vertical="center" wrapText="1"/>
    </xf>
    <xf numFmtId="0" fontId="69" fillId="3" borderId="69" xfId="0" applyFont="1" applyFill="1" applyBorder="1" applyAlignment="1">
      <alignment horizontal="center" vertical="center" wrapText="1"/>
    </xf>
    <xf numFmtId="0" fontId="69" fillId="3" borderId="70" xfId="0" applyFont="1" applyFill="1" applyBorder="1" applyAlignment="1">
      <alignment horizontal="center" vertical="center" wrapText="1"/>
    </xf>
    <xf numFmtId="0" fontId="22" fillId="0" borderId="0" xfId="0" applyFont="1" applyAlignment="1">
      <alignment horizontal="center" vertical="center"/>
    </xf>
    <xf numFmtId="0" fontId="67" fillId="3" borderId="61" xfId="0" applyFont="1" applyFill="1" applyBorder="1" applyAlignment="1">
      <alignment horizontal="center" vertical="center" wrapText="1"/>
    </xf>
    <xf numFmtId="0" fontId="67" fillId="3" borderId="20" xfId="0" applyFont="1" applyFill="1" applyBorder="1" applyAlignment="1">
      <alignment horizontal="center" vertical="center"/>
    </xf>
    <xf numFmtId="0" fontId="31" fillId="0" borderId="65" xfId="0" applyFont="1" applyBorder="1" applyAlignment="1">
      <alignment horizontal="left" vertical="center" wrapText="1" readingOrder="1"/>
    </xf>
    <xf numFmtId="0" fontId="31" fillId="0" borderId="66" xfId="0" applyFont="1" applyBorder="1" applyAlignment="1">
      <alignment horizontal="left" vertical="center" wrapText="1" readingOrder="1"/>
    </xf>
    <xf numFmtId="0" fontId="59" fillId="3" borderId="19" xfId="0" applyFont="1" applyFill="1" applyBorder="1" applyAlignment="1">
      <alignment horizontal="center" vertical="center"/>
    </xf>
    <xf numFmtId="0" fontId="63" fillId="3" borderId="19" xfId="0" applyFont="1" applyFill="1" applyBorder="1" applyAlignment="1">
      <alignment horizontal="center" vertical="center"/>
    </xf>
    <xf numFmtId="0" fontId="30" fillId="6" borderId="0" xfId="0" applyFont="1" applyFill="1" applyAlignment="1">
      <alignment horizontal="center" vertical="center" wrapText="1" readingOrder="1"/>
    </xf>
    <xf numFmtId="0" fontId="40" fillId="0" borderId="0" xfId="0" applyFont="1" applyAlignment="1">
      <alignment horizontal="center" vertical="center"/>
    </xf>
    <xf numFmtId="0" fontId="0" fillId="3" borderId="19" xfId="0" applyFill="1" applyBorder="1" applyAlignment="1">
      <alignment horizontal="center"/>
    </xf>
    <xf numFmtId="0" fontId="55" fillId="3" borderId="19" xfId="0" applyFont="1" applyFill="1" applyBorder="1" applyAlignment="1">
      <alignment horizontal="center" vertical="center" wrapText="1"/>
    </xf>
    <xf numFmtId="0" fontId="55" fillId="3" borderId="19" xfId="0" applyFont="1" applyFill="1" applyBorder="1" applyAlignment="1">
      <alignment horizontal="center" vertical="center"/>
    </xf>
    <xf numFmtId="0" fontId="33" fillId="3" borderId="0" xfId="0" applyFont="1" applyFill="1" applyAlignment="1">
      <alignment horizontal="justify" vertical="center" wrapText="1"/>
    </xf>
    <xf numFmtId="0" fontId="35" fillId="15" borderId="30" xfId="0" applyFont="1" applyFill="1" applyBorder="1" applyAlignment="1">
      <alignment horizontal="center" vertical="center" wrapText="1" readingOrder="1"/>
    </xf>
    <xf numFmtId="0" fontId="35" fillId="15" borderId="3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5" fillId="3" borderId="20" xfId="0"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69" fillId="3" borderId="61" xfId="0" applyFont="1" applyFill="1" applyBorder="1" applyAlignment="1">
      <alignment horizontal="center" vertical="center" wrapText="1"/>
    </xf>
    <xf numFmtId="0" fontId="69" fillId="3" borderId="20" xfId="0" applyFont="1" applyFill="1" applyBorder="1" applyAlignment="1">
      <alignment horizontal="center" vertical="center"/>
    </xf>
    <xf numFmtId="0" fontId="56" fillId="3" borderId="19" xfId="0" applyFont="1" applyFill="1" applyBorder="1" applyAlignment="1">
      <alignment horizontal="center" vertical="center"/>
    </xf>
    <xf numFmtId="0" fontId="38" fillId="15" borderId="21" xfId="0" applyFont="1" applyFill="1" applyBorder="1" applyAlignment="1">
      <alignment horizontal="center" vertical="center" wrapText="1" readingOrder="1"/>
    </xf>
    <xf numFmtId="0" fontId="38" fillId="15" borderId="22" xfId="0" applyFont="1" applyFill="1" applyBorder="1" applyAlignment="1">
      <alignment horizontal="center" vertical="center" wrapText="1" readingOrder="1"/>
    </xf>
    <xf numFmtId="0" fontId="38" fillId="15" borderId="33" xfId="0" applyFont="1" applyFill="1" applyBorder="1" applyAlignment="1">
      <alignment horizontal="center" vertical="center" wrapText="1" readingOrder="1"/>
    </xf>
    <xf numFmtId="0" fontId="1" fillId="0" borderId="23" xfId="0" applyFont="1" applyBorder="1" applyAlignment="1" applyProtection="1">
      <alignment horizontal="center" vertical="center"/>
      <protection locked="0" hidden="1"/>
    </xf>
    <xf numFmtId="0" fontId="44" fillId="0" borderId="19" xfId="0" applyFont="1" applyBorder="1" applyAlignment="1" applyProtection="1">
      <alignment horizontal="center" vertical="center" wrapText="1"/>
      <protection locked="0" hidden="1"/>
    </xf>
    <xf numFmtId="0" fontId="6" fillId="0" borderId="62" xfId="0" applyFont="1" applyBorder="1" applyAlignment="1" applyProtection="1">
      <alignment horizontal="center" vertical="center" wrapText="1"/>
      <protection locked="0" hidden="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9">
    <dxf>
      <font>
        <color auto="1"/>
      </font>
      <fill>
        <patternFill>
          <bgColor rgb="FFFFFF00"/>
        </patternFill>
      </fill>
    </dxf>
    <dxf>
      <font>
        <color theme="1"/>
      </font>
      <fill>
        <patternFill>
          <bgColor theme="9" tint="-0.24994659260841701"/>
        </patternFill>
      </fill>
    </dxf>
    <dxf>
      <font>
        <color theme="1"/>
      </font>
      <fill>
        <patternFill>
          <bgColor rgb="FF92D050"/>
        </patternFill>
      </fill>
    </dxf>
    <dxf>
      <font>
        <color theme="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FFFF00"/>
        </patternFill>
      </fill>
    </dxf>
    <dxf>
      <font>
        <color theme="1"/>
      </font>
      <fill>
        <patternFill>
          <bgColor theme="9" tint="-0.24994659260841701"/>
        </patternFill>
      </fill>
    </dxf>
    <dxf>
      <font>
        <color theme="1"/>
      </font>
      <fill>
        <patternFill>
          <bgColor rgb="FF92D050"/>
        </patternFill>
      </fill>
    </dxf>
    <dxf>
      <font>
        <color theme="1"/>
      </font>
      <fill>
        <patternFill>
          <bgColor rgb="FFC0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FFFF00"/>
        </patternFill>
      </fill>
    </dxf>
    <dxf>
      <font>
        <color theme="1"/>
      </font>
      <fill>
        <patternFill>
          <bgColor theme="9" tint="-0.24994659260841701"/>
        </patternFill>
      </fill>
    </dxf>
    <dxf>
      <font>
        <color theme="1"/>
      </font>
      <fill>
        <patternFill>
          <bgColor rgb="FF92D050"/>
        </patternFill>
      </fill>
    </dxf>
    <dxf>
      <font>
        <color theme="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EAEAEA"/>
      <color rgb="FFE7E0D1"/>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pivotCacheDefinition" Target="pivotCache/pivotCacheDefinition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545523</xdr:colOff>
      <xdr:row>0</xdr:row>
      <xdr:rowOff>86591</xdr:rowOff>
    </xdr:from>
    <xdr:to>
      <xdr:col>1</xdr:col>
      <xdr:colOff>1126548</xdr:colOff>
      <xdr:row>1</xdr:row>
      <xdr:rowOff>471343</xdr:rowOff>
    </xdr:to>
    <xdr:pic>
      <xdr:nvPicPr>
        <xdr:cNvPr id="2" name="Imagen 1" descr="logUNICORDOBA vigiladoMENmodalidad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736023" y="86591"/>
          <a:ext cx="581025" cy="93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421483</xdr:colOff>
      <xdr:row>0</xdr:row>
      <xdr:rowOff>45774</xdr:rowOff>
    </xdr:from>
    <xdr:to>
      <xdr:col>1</xdr:col>
      <xdr:colOff>562658</xdr:colOff>
      <xdr:row>1</xdr:row>
      <xdr:rowOff>457583</xdr:rowOff>
    </xdr:to>
    <xdr:pic>
      <xdr:nvPicPr>
        <xdr:cNvPr id="2" name="Imagen 1" descr="logUNICORDOBA vigiladoMENmodalidad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421483" y="45774"/>
          <a:ext cx="615416" cy="9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1</xdr:row>
      <xdr:rowOff>228600</xdr:rowOff>
    </xdr:from>
    <xdr:to>
      <xdr:col>6</xdr:col>
      <xdr:colOff>247650</xdr:colOff>
      <xdr:row>2</xdr:row>
      <xdr:rowOff>1094802</xdr:rowOff>
    </xdr:to>
    <xdr:pic>
      <xdr:nvPicPr>
        <xdr:cNvPr id="2" name="Imagen 1" descr="logUNICORDOBA vigiladoMENmodalidad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695450" y="419100"/>
          <a:ext cx="1219200" cy="1952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167474</xdr:colOff>
      <xdr:row>0</xdr:row>
      <xdr:rowOff>55824</xdr:rowOff>
    </xdr:from>
    <xdr:to>
      <xdr:col>0</xdr:col>
      <xdr:colOff>811988</xdr:colOff>
      <xdr:row>1</xdr:row>
      <xdr:rowOff>495439</xdr:rowOff>
    </xdr:to>
    <xdr:pic>
      <xdr:nvPicPr>
        <xdr:cNvPr id="3" name="Picture 2" descr="https://repositorio.unicordoba.edu.co/bitstream/handle/ucordoba/1917/logUNICORDOBA%20vigiladoMENmodalidad%201.png?sequence=1&amp;isAllowed=y">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907"/>
        <a:stretch/>
      </xdr:blipFill>
      <xdr:spPr bwMode="auto">
        <a:xfrm>
          <a:off x="167474" y="55824"/>
          <a:ext cx="644514" cy="969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515055</xdr:colOff>
      <xdr:row>1</xdr:row>
      <xdr:rowOff>42332</xdr:rowOff>
    </xdr:from>
    <xdr:to>
      <xdr:col>1</xdr:col>
      <xdr:colOff>1178278</xdr:colOff>
      <xdr:row>2</xdr:row>
      <xdr:rowOff>497155</xdr:rowOff>
    </xdr:to>
    <xdr:pic>
      <xdr:nvPicPr>
        <xdr:cNvPr id="3" name="Picture 2" descr="https://repositorio.unicordoba.edu.co/bitstream/handle/ucordoba/1917/logUNICORDOBA%20vigiladoMENmodalidad%201.png?sequence=1&amp;isAllowed=y">
          <a:extLst>
            <a:ext uri="{FF2B5EF4-FFF2-40B4-BE49-F238E27FC236}">
              <a16:creationId xmlns:a16="http://schemas.microsoft.com/office/drawing/2014/main" id="{00000000-0008-0000-05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907"/>
        <a:stretch/>
      </xdr:blipFill>
      <xdr:spPr bwMode="auto">
        <a:xfrm>
          <a:off x="1277055" y="225776"/>
          <a:ext cx="663223" cy="998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1053524</xdr:colOff>
      <xdr:row>1</xdr:row>
      <xdr:rowOff>38750</xdr:rowOff>
    </xdr:from>
    <xdr:to>
      <xdr:col>1</xdr:col>
      <xdr:colOff>1700956</xdr:colOff>
      <xdr:row>2</xdr:row>
      <xdr:rowOff>529166</xdr:rowOff>
    </xdr:to>
    <xdr:pic>
      <xdr:nvPicPr>
        <xdr:cNvPr id="2" name="Imagen 1" descr="logUNICORDOBA vigiladoMENmodalidad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815524" y="218667"/>
          <a:ext cx="647432" cy="1030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209551</xdr:colOff>
      <xdr:row>1</xdr:row>
      <xdr:rowOff>105641</xdr:rowOff>
    </xdr:from>
    <xdr:to>
      <xdr:col>1</xdr:col>
      <xdr:colOff>802699</xdr:colOff>
      <xdr:row>2</xdr:row>
      <xdr:rowOff>490393</xdr:rowOff>
    </xdr:to>
    <xdr:pic>
      <xdr:nvPicPr>
        <xdr:cNvPr id="2" name="Imagen 1" descr="logUNICORDOBA vigiladoMENmodalidad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162051" y="296141"/>
          <a:ext cx="593148" cy="927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20de%20Riesgos%20G.%20Doc%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pa%20de%20Riesgos%20de%20Talento%20Humano%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pa%20de%20riesgos%20admisiones%20y%20registros%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pa%20de%20riesgos%20Comunicaciones%20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pa%20de%20Riesgos%20Docencia%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pa%20de%20Riesgos%20Extensi&#243;n%20(18-0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inherente"/>
      <sheetName val="Matriz Calor Inherente"/>
      <sheetName val="Hoja de controles"/>
      <sheetName val="Hoja2"/>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inherente"/>
      <sheetName val="Matriz Calor Inherente"/>
      <sheetName val="Hoja de controles"/>
      <sheetName val="Hoja2"/>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inherente"/>
      <sheetName val="Matriz Calor Inherente"/>
      <sheetName val="Hoja de controles"/>
      <sheetName val="Hoja2"/>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inherente"/>
      <sheetName val="Matriz Calor Inherente"/>
      <sheetName val="Hoja de controles"/>
      <sheetName val="Hoja2"/>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inherente"/>
      <sheetName val="Matriz Calor Inherente"/>
      <sheetName val="Hoja de controles"/>
      <sheetName val="Hoja2"/>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inherente"/>
      <sheetName val="Matriz Calor Inherente"/>
      <sheetName val="Hoja de controles"/>
      <sheetName val="Hoja2"/>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3:E225" firstHeaderRow="1" firstDataRow="1" firstDataCol="2"/>
  <pivotFields count="2">
    <pivotField axis="axisRow" compact="0" showAll="0" defaultSubtotal="0">
      <items count="2">
        <item n="Afectación Económica o presupuestal - No seleccionar" x="0"/>
        <item n="Pérdida Reputacional - No seleccionar"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3:C223" totalsRowShown="0" headerRowDxfId="25" dataDxfId="24">
  <autoFilter ref="B213:C223" xr:uid="{00000000-0009-0000-0100-000001000000}"/>
  <tableColumns count="2">
    <tableColumn id="1" xr3:uid="{00000000-0010-0000-0000-000001000000}" name="Criterios" dataDxfId="23"/>
    <tableColumn id="2" xr3:uid="{00000000-0010-0000-0000-000002000000}" name="Subcriterios" dataDxfId="2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7"/>
  <sheetViews>
    <sheetView topLeftCell="A13" zoomScale="110" zoomScaleNormal="110" workbookViewId="0">
      <selection activeCell="B6" sqref="B6:H7"/>
    </sheetView>
  </sheetViews>
  <sheetFormatPr baseColWidth="10" defaultColWidth="11.42578125" defaultRowHeight="15" x14ac:dyDescent="0.25"/>
  <cols>
    <col min="1" max="1" width="2.85546875" style="38" customWidth="1"/>
    <col min="2" max="3" width="24.7109375" style="38" customWidth="1"/>
    <col min="4" max="4" width="16" style="38" customWidth="1"/>
    <col min="5" max="5" width="24.7109375" style="38" customWidth="1"/>
    <col min="6" max="6" width="27.7109375" style="38" customWidth="1"/>
    <col min="7" max="8" width="24.7109375" style="38" customWidth="1"/>
    <col min="9" max="16384" width="11.42578125" style="38"/>
  </cols>
  <sheetData>
    <row r="1" spans="2:8" ht="42.75" customHeight="1" x14ac:dyDescent="0.25">
      <c r="B1" s="146"/>
      <c r="C1" s="150" t="s">
        <v>191</v>
      </c>
      <c r="D1" s="151"/>
      <c r="E1" s="151"/>
      <c r="F1" s="151"/>
      <c r="G1" s="152"/>
      <c r="H1" s="148" t="s">
        <v>218</v>
      </c>
    </row>
    <row r="2" spans="2:8" ht="42.75" customHeight="1" x14ac:dyDescent="0.25">
      <c r="B2" s="147"/>
      <c r="C2" s="150" t="s">
        <v>192</v>
      </c>
      <c r="D2" s="151"/>
      <c r="E2" s="151"/>
      <c r="F2" s="151"/>
      <c r="G2" s="152"/>
      <c r="H2" s="149"/>
    </row>
    <row r="3" spans="2:8" ht="4.5" customHeight="1" thickBot="1" x14ac:dyDescent="0.3"/>
    <row r="4" spans="2:8" ht="18" x14ac:dyDescent="0.25">
      <c r="B4" s="153" t="s">
        <v>150</v>
      </c>
      <c r="C4" s="154"/>
      <c r="D4" s="154"/>
      <c r="E4" s="154"/>
      <c r="F4" s="154"/>
      <c r="G4" s="154"/>
      <c r="H4" s="155"/>
    </row>
    <row r="5" spans="2:8" x14ac:dyDescent="0.25">
      <c r="B5" s="39"/>
      <c r="C5" s="40"/>
      <c r="D5" s="40"/>
      <c r="E5" s="40"/>
      <c r="F5" s="40"/>
      <c r="G5" s="40"/>
      <c r="H5" s="41"/>
    </row>
    <row r="6" spans="2:8" ht="63" customHeight="1" x14ac:dyDescent="0.25">
      <c r="B6" s="156" t="s">
        <v>193</v>
      </c>
      <c r="C6" s="157"/>
      <c r="D6" s="157"/>
      <c r="E6" s="157"/>
      <c r="F6" s="157"/>
      <c r="G6" s="157"/>
      <c r="H6" s="158"/>
    </row>
    <row r="7" spans="2:8" ht="63" customHeight="1" x14ac:dyDescent="0.25">
      <c r="B7" s="159"/>
      <c r="C7" s="160"/>
      <c r="D7" s="160"/>
      <c r="E7" s="160"/>
      <c r="F7" s="160"/>
      <c r="G7" s="160"/>
      <c r="H7" s="161"/>
    </row>
    <row r="8" spans="2:8" ht="16.5" x14ac:dyDescent="0.25">
      <c r="B8" s="162" t="s">
        <v>148</v>
      </c>
      <c r="C8" s="163"/>
      <c r="D8" s="163"/>
      <c r="E8" s="163"/>
      <c r="F8" s="163"/>
      <c r="G8" s="163"/>
      <c r="H8" s="164"/>
    </row>
    <row r="9" spans="2:8" ht="95.25" customHeight="1" x14ac:dyDescent="0.25">
      <c r="B9" s="172" t="s">
        <v>194</v>
      </c>
      <c r="C9" s="173"/>
      <c r="D9" s="173"/>
      <c r="E9" s="173"/>
      <c r="F9" s="173"/>
      <c r="G9" s="173"/>
      <c r="H9" s="174"/>
    </row>
    <row r="10" spans="2:8" ht="16.5" x14ac:dyDescent="0.25">
      <c r="B10" s="75"/>
      <c r="C10" s="76"/>
      <c r="D10" s="76"/>
      <c r="E10" s="76"/>
      <c r="F10" s="76"/>
      <c r="G10" s="76"/>
      <c r="H10" s="77"/>
    </row>
    <row r="11" spans="2:8" ht="16.5" customHeight="1" x14ac:dyDescent="0.25">
      <c r="B11" s="165" t="s">
        <v>185</v>
      </c>
      <c r="C11" s="166"/>
      <c r="D11" s="166"/>
      <c r="E11" s="166"/>
      <c r="F11" s="166"/>
      <c r="G11" s="166"/>
      <c r="H11" s="167"/>
    </row>
    <row r="12" spans="2:8" ht="44.25" customHeight="1" x14ac:dyDescent="0.25">
      <c r="B12" s="165"/>
      <c r="C12" s="166"/>
      <c r="D12" s="166"/>
      <c r="E12" s="166"/>
      <c r="F12" s="166"/>
      <c r="G12" s="166"/>
      <c r="H12" s="167"/>
    </row>
    <row r="13" spans="2:8" ht="15.75" thickBot="1" x14ac:dyDescent="0.3">
      <c r="B13" s="64"/>
      <c r="C13" s="67"/>
      <c r="D13" s="72"/>
      <c r="E13" s="73"/>
      <c r="F13" s="73"/>
      <c r="G13" s="74"/>
      <c r="H13" s="68"/>
    </row>
    <row r="14" spans="2:8" ht="15.75" thickTop="1" x14ac:dyDescent="0.25">
      <c r="B14" s="64"/>
      <c r="C14" s="168" t="s">
        <v>149</v>
      </c>
      <c r="D14" s="169"/>
      <c r="E14" s="170" t="s">
        <v>186</v>
      </c>
      <c r="F14" s="171"/>
      <c r="G14" s="67"/>
      <c r="H14" s="68"/>
    </row>
    <row r="15" spans="2:8" ht="35.25" customHeight="1" x14ac:dyDescent="0.25">
      <c r="B15" s="64"/>
      <c r="C15" s="175" t="s">
        <v>179</v>
      </c>
      <c r="D15" s="176"/>
      <c r="E15" s="177" t="s">
        <v>184</v>
      </c>
      <c r="F15" s="178"/>
      <c r="G15" s="67"/>
      <c r="H15" s="68"/>
    </row>
    <row r="16" spans="2:8" ht="17.25" customHeight="1" x14ac:dyDescent="0.25">
      <c r="B16" s="64"/>
      <c r="C16" s="175" t="s">
        <v>180</v>
      </c>
      <c r="D16" s="176"/>
      <c r="E16" s="177" t="s">
        <v>182</v>
      </c>
      <c r="F16" s="178"/>
      <c r="G16" s="67"/>
      <c r="H16" s="68"/>
    </row>
    <row r="17" spans="2:8" ht="19.5" customHeight="1" x14ac:dyDescent="0.25">
      <c r="B17" s="64"/>
      <c r="C17" s="175" t="s">
        <v>181</v>
      </c>
      <c r="D17" s="176"/>
      <c r="E17" s="177" t="s">
        <v>183</v>
      </c>
      <c r="F17" s="178"/>
      <c r="G17" s="67"/>
      <c r="H17" s="68"/>
    </row>
    <row r="18" spans="2:8" ht="69.75" customHeight="1" x14ac:dyDescent="0.25">
      <c r="B18" s="64"/>
      <c r="C18" s="175" t="s">
        <v>151</v>
      </c>
      <c r="D18" s="176"/>
      <c r="E18" s="177" t="s">
        <v>152</v>
      </c>
      <c r="F18" s="178"/>
      <c r="G18" s="67"/>
      <c r="H18" s="68"/>
    </row>
    <row r="19" spans="2:8" ht="34.5" customHeight="1" x14ac:dyDescent="0.25">
      <c r="B19" s="64"/>
      <c r="C19" s="179" t="s">
        <v>2</v>
      </c>
      <c r="D19" s="180"/>
      <c r="E19" s="181" t="s">
        <v>187</v>
      </c>
      <c r="F19" s="182"/>
      <c r="G19" s="67"/>
      <c r="H19" s="68"/>
    </row>
    <row r="20" spans="2:8" ht="27.75" customHeight="1" x14ac:dyDescent="0.25">
      <c r="B20" s="64"/>
      <c r="C20" s="179" t="s">
        <v>3</v>
      </c>
      <c r="D20" s="180"/>
      <c r="E20" s="181" t="s">
        <v>188</v>
      </c>
      <c r="F20" s="182"/>
      <c r="G20" s="67"/>
      <c r="H20" s="68"/>
    </row>
    <row r="21" spans="2:8" ht="28.5" customHeight="1" x14ac:dyDescent="0.25">
      <c r="B21" s="64"/>
      <c r="C21" s="179" t="s">
        <v>35</v>
      </c>
      <c r="D21" s="180"/>
      <c r="E21" s="181" t="s">
        <v>189</v>
      </c>
      <c r="F21" s="182"/>
      <c r="G21" s="67"/>
      <c r="H21" s="68"/>
    </row>
    <row r="22" spans="2:8" ht="72.75" customHeight="1" x14ac:dyDescent="0.25">
      <c r="B22" s="64"/>
      <c r="C22" s="179" t="s">
        <v>1</v>
      </c>
      <c r="D22" s="180"/>
      <c r="E22" s="181" t="s">
        <v>190</v>
      </c>
      <c r="F22" s="182"/>
      <c r="G22" s="67"/>
      <c r="H22" s="68"/>
    </row>
    <row r="23" spans="2:8" ht="64.5" customHeight="1" x14ac:dyDescent="0.25">
      <c r="B23" s="64"/>
      <c r="C23" s="179" t="s">
        <v>41</v>
      </c>
      <c r="D23" s="180"/>
      <c r="E23" s="181" t="s">
        <v>154</v>
      </c>
      <c r="F23" s="182"/>
      <c r="G23" s="67"/>
      <c r="H23" s="68"/>
    </row>
    <row r="24" spans="2:8" ht="71.25" customHeight="1" x14ac:dyDescent="0.25">
      <c r="B24" s="64"/>
      <c r="C24" s="179" t="s">
        <v>153</v>
      </c>
      <c r="D24" s="180"/>
      <c r="E24" s="181" t="s">
        <v>155</v>
      </c>
      <c r="F24" s="182"/>
      <c r="G24" s="67"/>
      <c r="H24" s="68"/>
    </row>
    <row r="25" spans="2:8" ht="55.5" customHeight="1" x14ac:dyDescent="0.25">
      <c r="B25" s="64"/>
      <c r="C25" s="186" t="s">
        <v>156</v>
      </c>
      <c r="D25" s="187"/>
      <c r="E25" s="181" t="s">
        <v>157</v>
      </c>
      <c r="F25" s="182"/>
      <c r="G25" s="67"/>
      <c r="H25" s="68"/>
    </row>
    <row r="26" spans="2:8" ht="42" customHeight="1" x14ac:dyDescent="0.25">
      <c r="B26" s="64"/>
      <c r="C26" s="186" t="s">
        <v>39</v>
      </c>
      <c r="D26" s="187"/>
      <c r="E26" s="181" t="s">
        <v>158</v>
      </c>
      <c r="F26" s="182"/>
      <c r="G26" s="67"/>
      <c r="H26" s="68"/>
    </row>
    <row r="27" spans="2:8" ht="59.25" customHeight="1" x14ac:dyDescent="0.25">
      <c r="B27" s="64"/>
      <c r="C27" s="186" t="s">
        <v>147</v>
      </c>
      <c r="D27" s="187"/>
      <c r="E27" s="181" t="s">
        <v>159</v>
      </c>
      <c r="F27" s="182"/>
      <c r="G27" s="67"/>
      <c r="H27" s="68"/>
    </row>
    <row r="28" spans="2:8" ht="23.25" customHeight="1" x14ac:dyDescent="0.25">
      <c r="B28" s="64"/>
      <c r="C28" s="186" t="s">
        <v>11</v>
      </c>
      <c r="D28" s="187"/>
      <c r="E28" s="181" t="s">
        <v>160</v>
      </c>
      <c r="F28" s="182"/>
      <c r="G28" s="67"/>
      <c r="H28" s="68"/>
    </row>
    <row r="29" spans="2:8" ht="30.75" customHeight="1" x14ac:dyDescent="0.25">
      <c r="B29" s="64"/>
      <c r="C29" s="186" t="s">
        <v>164</v>
      </c>
      <c r="D29" s="187"/>
      <c r="E29" s="181" t="s">
        <v>161</v>
      </c>
      <c r="F29" s="182"/>
      <c r="G29" s="67"/>
      <c r="H29" s="68"/>
    </row>
    <row r="30" spans="2:8" ht="35.25" customHeight="1" x14ac:dyDescent="0.25">
      <c r="B30" s="64"/>
      <c r="C30" s="186" t="s">
        <v>165</v>
      </c>
      <c r="D30" s="187"/>
      <c r="E30" s="181" t="s">
        <v>162</v>
      </c>
      <c r="F30" s="182"/>
      <c r="G30" s="67"/>
      <c r="H30" s="68"/>
    </row>
    <row r="31" spans="2:8" ht="33" customHeight="1" x14ac:dyDescent="0.25">
      <c r="B31" s="64"/>
      <c r="C31" s="186" t="s">
        <v>165</v>
      </c>
      <c r="D31" s="187"/>
      <c r="E31" s="181" t="s">
        <v>162</v>
      </c>
      <c r="F31" s="182"/>
      <c r="G31" s="67"/>
      <c r="H31" s="68"/>
    </row>
    <row r="32" spans="2:8" ht="30" customHeight="1" x14ac:dyDescent="0.25">
      <c r="B32" s="64"/>
      <c r="C32" s="186" t="s">
        <v>166</v>
      </c>
      <c r="D32" s="187"/>
      <c r="E32" s="181" t="s">
        <v>163</v>
      </c>
      <c r="F32" s="182"/>
      <c r="G32" s="67"/>
      <c r="H32" s="68"/>
    </row>
    <row r="33" spans="2:8" ht="35.25" customHeight="1" x14ac:dyDescent="0.25">
      <c r="B33" s="64"/>
      <c r="C33" s="186" t="s">
        <v>167</v>
      </c>
      <c r="D33" s="187"/>
      <c r="E33" s="181" t="s">
        <v>168</v>
      </c>
      <c r="F33" s="182"/>
      <c r="G33" s="67"/>
      <c r="H33" s="68"/>
    </row>
    <row r="34" spans="2:8" ht="31.5" customHeight="1" x14ac:dyDescent="0.25">
      <c r="B34" s="64"/>
      <c r="C34" s="186" t="s">
        <v>169</v>
      </c>
      <c r="D34" s="187"/>
      <c r="E34" s="181" t="s">
        <v>170</v>
      </c>
      <c r="F34" s="182"/>
      <c r="G34" s="67"/>
      <c r="H34" s="68"/>
    </row>
    <row r="35" spans="2:8" ht="35.25" customHeight="1" x14ac:dyDescent="0.25">
      <c r="B35" s="64"/>
      <c r="C35" s="186" t="s">
        <v>171</v>
      </c>
      <c r="D35" s="187"/>
      <c r="E35" s="181" t="s">
        <v>172</v>
      </c>
      <c r="F35" s="182"/>
      <c r="G35" s="67"/>
      <c r="H35" s="68"/>
    </row>
    <row r="36" spans="2:8" ht="59.25" customHeight="1" x14ac:dyDescent="0.25">
      <c r="B36" s="64"/>
      <c r="C36" s="186" t="s">
        <v>173</v>
      </c>
      <c r="D36" s="187"/>
      <c r="E36" s="181" t="s">
        <v>174</v>
      </c>
      <c r="F36" s="182"/>
      <c r="G36" s="67"/>
      <c r="H36" s="68"/>
    </row>
    <row r="37" spans="2:8" ht="29.25" customHeight="1" x14ac:dyDescent="0.25">
      <c r="B37" s="64"/>
      <c r="C37" s="186" t="s">
        <v>27</v>
      </c>
      <c r="D37" s="187"/>
      <c r="E37" s="181" t="s">
        <v>175</v>
      </c>
      <c r="F37" s="182"/>
      <c r="G37" s="67"/>
      <c r="H37" s="68"/>
    </row>
    <row r="38" spans="2:8" ht="82.5" customHeight="1" x14ac:dyDescent="0.25">
      <c r="B38" s="64"/>
      <c r="C38" s="186" t="s">
        <v>177</v>
      </c>
      <c r="D38" s="187"/>
      <c r="E38" s="181" t="s">
        <v>176</v>
      </c>
      <c r="F38" s="182"/>
      <c r="G38" s="67"/>
      <c r="H38" s="68"/>
    </row>
    <row r="39" spans="2:8" ht="46.5" customHeight="1" x14ac:dyDescent="0.25">
      <c r="B39" s="64"/>
      <c r="C39" s="186" t="s">
        <v>32</v>
      </c>
      <c r="D39" s="187"/>
      <c r="E39" s="181" t="s">
        <v>178</v>
      </c>
      <c r="F39" s="182"/>
      <c r="G39" s="67"/>
      <c r="H39" s="68"/>
    </row>
    <row r="40" spans="2:8" ht="6.75" customHeight="1" thickBot="1" x14ac:dyDescent="0.3">
      <c r="B40" s="64"/>
      <c r="C40" s="188"/>
      <c r="D40" s="189"/>
      <c r="E40" s="190"/>
      <c r="F40" s="191"/>
      <c r="G40" s="67"/>
      <c r="H40" s="68"/>
    </row>
    <row r="41" spans="2:8" ht="15.75" thickTop="1" x14ac:dyDescent="0.25">
      <c r="B41" s="64"/>
      <c r="C41" s="65"/>
      <c r="D41" s="65"/>
      <c r="E41" s="66"/>
      <c r="F41" s="66"/>
      <c r="G41" s="67"/>
      <c r="H41" s="68"/>
    </row>
    <row r="42" spans="2:8" ht="44.25" customHeight="1" x14ac:dyDescent="0.25">
      <c r="B42" s="183" t="s">
        <v>195</v>
      </c>
      <c r="C42" s="184"/>
      <c r="D42" s="184"/>
      <c r="E42" s="184"/>
      <c r="F42" s="184"/>
      <c r="G42" s="184"/>
      <c r="H42" s="185"/>
    </row>
    <row r="43" spans="2:8" ht="32.25" customHeight="1" x14ac:dyDescent="0.25">
      <c r="B43" s="183" t="s">
        <v>196</v>
      </c>
      <c r="C43" s="184"/>
      <c r="D43" s="184"/>
      <c r="E43" s="184"/>
      <c r="F43" s="184"/>
      <c r="G43" s="184"/>
      <c r="H43" s="185"/>
    </row>
    <row r="44" spans="2:8" ht="20.25" customHeight="1" x14ac:dyDescent="0.25">
      <c r="B44" s="183" t="s">
        <v>197</v>
      </c>
      <c r="C44" s="184"/>
      <c r="D44" s="184"/>
      <c r="E44" s="184"/>
      <c r="F44" s="184"/>
      <c r="G44" s="184"/>
      <c r="H44" s="185"/>
    </row>
    <row r="45" spans="2:8" ht="20.25" customHeight="1" x14ac:dyDescent="0.25">
      <c r="B45" s="183" t="s">
        <v>198</v>
      </c>
      <c r="C45" s="184"/>
      <c r="D45" s="184"/>
      <c r="E45" s="184"/>
      <c r="F45" s="184"/>
      <c r="G45" s="184"/>
      <c r="H45" s="185"/>
    </row>
    <row r="46" spans="2:8" x14ac:dyDescent="0.25">
      <c r="B46" s="183" t="s">
        <v>199</v>
      </c>
      <c r="C46" s="184"/>
      <c r="D46" s="184"/>
      <c r="E46" s="184"/>
      <c r="F46" s="184"/>
      <c r="G46" s="184"/>
      <c r="H46" s="185"/>
    </row>
    <row r="47" spans="2:8" ht="15.75" thickBot="1" x14ac:dyDescent="0.3">
      <c r="B47" s="69"/>
      <c r="C47" s="70"/>
      <c r="D47" s="70"/>
      <c r="E47" s="70"/>
      <c r="F47" s="70"/>
      <c r="G47" s="70"/>
      <c r="H47" s="71"/>
    </row>
  </sheetData>
  <mergeCells count="68">
    <mergeCell ref="E30:F30"/>
    <mergeCell ref="C30:D30"/>
    <mergeCell ref="C18:D18"/>
    <mergeCell ref="E18:F18"/>
    <mergeCell ref="C16:D16"/>
    <mergeCell ref="E16:F16"/>
    <mergeCell ref="C17:D17"/>
    <mergeCell ref="E17:F17"/>
    <mergeCell ref="E24:F24"/>
    <mergeCell ref="C24:D24"/>
    <mergeCell ref="C27:D27"/>
    <mergeCell ref="E27:F27"/>
    <mergeCell ref="B43:H43"/>
    <mergeCell ref="C40:D40"/>
    <mergeCell ref="E40:F40"/>
    <mergeCell ref="C39:D39"/>
    <mergeCell ref="E39:F39"/>
    <mergeCell ref="C35:D35"/>
    <mergeCell ref="B42:H42"/>
    <mergeCell ref="C31:D31"/>
    <mergeCell ref="E31:F31"/>
    <mergeCell ref="C32:D32"/>
    <mergeCell ref="E32:F32"/>
    <mergeCell ref="E35:F35"/>
    <mergeCell ref="C36:D36"/>
    <mergeCell ref="C37:D37"/>
    <mergeCell ref="E37:F37"/>
    <mergeCell ref="C38:D38"/>
    <mergeCell ref="E38:F38"/>
    <mergeCell ref="B44:H44"/>
    <mergeCell ref="B45:H45"/>
    <mergeCell ref="B46:H46"/>
    <mergeCell ref="E25:F25"/>
    <mergeCell ref="C25:D25"/>
    <mergeCell ref="C26:D26"/>
    <mergeCell ref="E26:F26"/>
    <mergeCell ref="C28:D28"/>
    <mergeCell ref="E28:F28"/>
    <mergeCell ref="E36:F36"/>
    <mergeCell ref="C34:D34"/>
    <mergeCell ref="C33:D33"/>
    <mergeCell ref="E33:F33"/>
    <mergeCell ref="E34:F34"/>
    <mergeCell ref="C29:D29"/>
    <mergeCell ref="E29:F29"/>
    <mergeCell ref="C15:D15"/>
    <mergeCell ref="E15:F15"/>
    <mergeCell ref="C19:D19"/>
    <mergeCell ref="E19:F19"/>
    <mergeCell ref="C23:D23"/>
    <mergeCell ref="C20:D20"/>
    <mergeCell ref="C21:D21"/>
    <mergeCell ref="C22:D22"/>
    <mergeCell ref="E20:F20"/>
    <mergeCell ref="E21:F21"/>
    <mergeCell ref="E22:F22"/>
    <mergeCell ref="E23:F23"/>
    <mergeCell ref="B6:H7"/>
    <mergeCell ref="B8:H8"/>
    <mergeCell ref="B11:H12"/>
    <mergeCell ref="C14:D14"/>
    <mergeCell ref="E14:F14"/>
    <mergeCell ref="B9:H9"/>
    <mergeCell ref="B1:B2"/>
    <mergeCell ref="H1:H2"/>
    <mergeCell ref="C2:G2"/>
    <mergeCell ref="C1:G1"/>
    <mergeCell ref="B4:H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7" customWidth="1"/>
    <col min="2" max="16384" width="11.42578125" style="7"/>
  </cols>
  <sheetData>
    <row r="3" spans="1:1" x14ac:dyDescent="0.2">
      <c r="A3" s="8" t="s">
        <v>13</v>
      </c>
    </row>
    <row r="4" spans="1:1" x14ac:dyDescent="0.2">
      <c r="A4" s="8" t="s">
        <v>14</v>
      </c>
    </row>
    <row r="5" spans="1:1" x14ac:dyDescent="0.2">
      <c r="A5" s="8" t="s">
        <v>15</v>
      </c>
    </row>
    <row r="6" spans="1:1" x14ac:dyDescent="0.2">
      <c r="A6" s="8" t="s">
        <v>10</v>
      </c>
    </row>
    <row r="7" spans="1:1" x14ac:dyDescent="0.2">
      <c r="A7" s="8" t="s">
        <v>9</v>
      </c>
    </row>
    <row r="8" spans="1:1" x14ac:dyDescent="0.2">
      <c r="A8" s="8" t="s">
        <v>18</v>
      </c>
    </row>
    <row r="9" spans="1:1" x14ac:dyDescent="0.2">
      <c r="A9" s="8" t="s">
        <v>19</v>
      </c>
    </row>
    <row r="10" spans="1:1" x14ac:dyDescent="0.2">
      <c r="A10" s="8" t="s">
        <v>21</v>
      </c>
    </row>
    <row r="11" spans="1:1" x14ac:dyDescent="0.2">
      <c r="A11" s="8" t="s">
        <v>22</v>
      </c>
    </row>
    <row r="12" spans="1:1" x14ac:dyDescent="0.2">
      <c r="A12" s="8" t="s">
        <v>24</v>
      </c>
    </row>
    <row r="13" spans="1:1" x14ac:dyDescent="0.2">
      <c r="A13" s="8" t="s">
        <v>25</v>
      </c>
    </row>
    <row r="14" spans="1:1" x14ac:dyDescent="0.2">
      <c r="A14" s="8" t="s">
        <v>26</v>
      </c>
    </row>
    <row r="16" spans="1:1" x14ac:dyDescent="0.2">
      <c r="A16" s="8" t="s">
        <v>28</v>
      </c>
    </row>
    <row r="17" spans="1:1" x14ac:dyDescent="0.2">
      <c r="A17" s="8" t="s">
        <v>29</v>
      </c>
    </row>
    <row r="18" spans="1:1" x14ac:dyDescent="0.2">
      <c r="A18" s="8" t="s">
        <v>30</v>
      </c>
    </row>
    <row r="20" spans="1:1" x14ac:dyDescent="0.2">
      <c r="A20" s="8" t="s">
        <v>33</v>
      </c>
    </row>
    <row r="21" spans="1:1" x14ac:dyDescent="0.2">
      <c r="A21" s="8"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D16B-B5E5-4FCD-9389-F7EDC9F7DF9A}">
  <sheetPr>
    <tabColor rgb="FF002060"/>
  </sheetPr>
  <dimension ref="A1:AS43"/>
  <sheetViews>
    <sheetView showGridLines="0" view="pageBreakPreview" topLeftCell="A30" zoomScale="95" zoomScaleNormal="77" zoomScaleSheetLayoutView="95" workbookViewId="0">
      <selection activeCell="A34" sqref="A34:XFD38"/>
    </sheetView>
  </sheetViews>
  <sheetFormatPr baseColWidth="10" defaultColWidth="11.42578125" defaultRowHeight="16.5" x14ac:dyDescent="0.3"/>
  <cols>
    <col min="1" max="1" width="6.85546875" style="2" customWidth="1"/>
    <col min="2" max="2" width="14.140625" style="2" customWidth="1"/>
    <col min="3" max="3" width="13.140625" style="2" customWidth="1"/>
    <col min="4" max="4" width="16.140625" style="2" customWidth="1"/>
    <col min="5" max="5" width="28.140625" style="1" customWidth="1"/>
    <col min="6" max="6" width="19" style="5" customWidth="1"/>
    <col min="7" max="7" width="15" style="1" customWidth="1"/>
    <col min="8" max="8" width="13" style="1" customWidth="1"/>
    <col min="9" max="9" width="6.28515625" style="1" bestFit="1" customWidth="1"/>
    <col min="10" max="10" width="17.85546875" style="1" customWidth="1"/>
    <col min="11" max="11" width="11.85546875" style="1" hidden="1" customWidth="1"/>
    <col min="12" max="12" width="9.140625" style="1" customWidth="1"/>
    <col min="13" max="13" width="6.28515625" style="1" bestFit="1" customWidth="1"/>
    <col min="14" max="14" width="16" style="1" customWidth="1"/>
    <col min="15" max="16384" width="11.42578125" style="1"/>
  </cols>
  <sheetData>
    <row r="1" spans="1:45" ht="42" customHeight="1" x14ac:dyDescent="0.3">
      <c r="A1" s="210"/>
      <c r="B1" s="211"/>
      <c r="C1" s="150" t="s">
        <v>191</v>
      </c>
      <c r="D1" s="151"/>
      <c r="E1" s="151"/>
      <c r="F1" s="151"/>
      <c r="G1" s="151"/>
      <c r="H1" s="151"/>
      <c r="I1" s="151"/>
      <c r="J1" s="151"/>
      <c r="K1" s="151"/>
      <c r="L1" s="152"/>
      <c r="M1" s="198" t="s">
        <v>229</v>
      </c>
      <c r="N1" s="199"/>
    </row>
    <row r="2" spans="1:45" ht="39.75" customHeight="1" x14ac:dyDescent="0.3">
      <c r="A2" s="212"/>
      <c r="B2" s="213"/>
      <c r="C2" s="195" t="s">
        <v>192</v>
      </c>
      <c r="D2" s="196"/>
      <c r="E2" s="196"/>
      <c r="F2" s="196"/>
      <c r="G2" s="196"/>
      <c r="H2" s="196"/>
      <c r="I2" s="196"/>
      <c r="J2" s="196"/>
      <c r="K2" s="196"/>
      <c r="L2" s="197"/>
      <c r="M2" s="200"/>
      <c r="N2" s="201"/>
    </row>
    <row r="3" spans="1:45" ht="6" customHeight="1" x14ac:dyDescent="0.3">
      <c r="A3" s="207"/>
      <c r="B3" s="208"/>
      <c r="C3" s="208"/>
      <c r="D3" s="208"/>
      <c r="E3" s="208"/>
      <c r="F3" s="208"/>
      <c r="G3" s="208"/>
      <c r="H3" s="208"/>
      <c r="I3" s="208"/>
      <c r="J3" s="208"/>
      <c r="K3" s="208"/>
      <c r="L3" s="208"/>
      <c r="M3" s="208"/>
      <c r="N3" s="209"/>
    </row>
    <row r="4" spans="1:45" ht="18" x14ac:dyDescent="0.3">
      <c r="A4" s="206" t="s">
        <v>36</v>
      </c>
      <c r="B4" s="206"/>
      <c r="C4" s="202"/>
      <c r="D4" s="203"/>
      <c r="E4" s="204"/>
      <c r="F4" s="223" t="s">
        <v>120</v>
      </c>
      <c r="G4" s="217"/>
      <c r="H4" s="218"/>
      <c r="I4" s="219"/>
      <c r="J4" s="206" t="s">
        <v>37</v>
      </c>
      <c r="K4" s="206"/>
      <c r="L4" s="205"/>
      <c r="M4" s="205"/>
      <c r="N4" s="205"/>
      <c r="O4" s="6"/>
      <c r="P4" s="6"/>
      <c r="Q4" s="6"/>
      <c r="R4" s="6"/>
      <c r="S4" s="6"/>
      <c r="T4" s="6"/>
      <c r="U4" s="6"/>
      <c r="V4" s="6"/>
      <c r="W4" s="6"/>
      <c r="X4" s="6"/>
      <c r="Y4" s="6"/>
      <c r="Z4" s="6"/>
      <c r="AA4" s="6"/>
      <c r="AB4" s="6"/>
      <c r="AC4" s="6"/>
      <c r="AD4" s="6"/>
      <c r="AE4" s="6"/>
      <c r="AF4" s="6"/>
      <c r="AG4" s="6"/>
    </row>
    <row r="5" spans="1:45" ht="18" x14ac:dyDescent="0.3">
      <c r="A5" s="214" t="s">
        <v>202</v>
      </c>
      <c r="B5" s="214"/>
      <c r="C5" s="205"/>
      <c r="D5" s="205"/>
      <c r="E5" s="205"/>
      <c r="F5" s="224"/>
      <c r="G5" s="220"/>
      <c r="H5" s="221"/>
      <c r="I5" s="222"/>
      <c r="J5" s="206"/>
      <c r="K5" s="206"/>
      <c r="L5" s="205"/>
      <c r="M5" s="205"/>
      <c r="N5" s="205"/>
      <c r="O5" s="6"/>
      <c r="P5" s="6"/>
      <c r="Q5" s="6"/>
      <c r="R5" s="6"/>
      <c r="S5" s="6"/>
      <c r="T5" s="6"/>
      <c r="U5" s="6"/>
      <c r="V5" s="6"/>
      <c r="W5" s="6"/>
      <c r="X5" s="6"/>
      <c r="Y5" s="6"/>
      <c r="Z5" s="6"/>
      <c r="AA5" s="6"/>
      <c r="AB5" s="6"/>
      <c r="AC5" s="6"/>
      <c r="AD5" s="6"/>
      <c r="AE5" s="6"/>
      <c r="AF5" s="6"/>
      <c r="AG5" s="6"/>
    </row>
    <row r="6" spans="1:45" ht="3.75" customHeight="1" thickBot="1" x14ac:dyDescent="0.35">
      <c r="A6" s="1"/>
      <c r="B6" s="1"/>
      <c r="C6" s="1"/>
      <c r="D6" s="1"/>
      <c r="F6" s="1"/>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ht="17.25" thickBot="1" x14ac:dyDescent="0.35">
      <c r="A7" s="215" t="s">
        <v>127</v>
      </c>
      <c r="B7" s="216"/>
      <c r="C7" s="216"/>
      <c r="D7" s="216"/>
      <c r="E7" s="216"/>
      <c r="F7" s="216"/>
      <c r="G7" s="192" t="s">
        <v>128</v>
      </c>
      <c r="H7" s="193"/>
      <c r="I7" s="193"/>
      <c r="J7" s="193"/>
      <c r="K7" s="193"/>
      <c r="L7" s="193"/>
      <c r="M7" s="193"/>
      <c r="N7" s="194"/>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ht="16.5" customHeight="1" x14ac:dyDescent="0.3">
      <c r="A8" s="239" t="s">
        <v>0</v>
      </c>
      <c r="B8" s="241" t="s">
        <v>2</v>
      </c>
      <c r="C8" s="243" t="s">
        <v>3</v>
      </c>
      <c r="D8" s="243" t="s">
        <v>35</v>
      </c>
      <c r="E8" s="241" t="s">
        <v>1</v>
      </c>
      <c r="F8" s="245" t="s">
        <v>41</v>
      </c>
      <c r="G8" s="247" t="s">
        <v>219</v>
      </c>
      <c r="H8" s="249" t="s">
        <v>31</v>
      </c>
      <c r="I8" s="251" t="s">
        <v>5</v>
      </c>
      <c r="J8" s="230" t="s">
        <v>220</v>
      </c>
      <c r="K8" s="232" t="s">
        <v>82</v>
      </c>
      <c r="L8" s="232" t="s">
        <v>38</v>
      </c>
      <c r="M8" s="235" t="s">
        <v>5</v>
      </c>
      <c r="N8" s="237" t="s">
        <v>39</v>
      </c>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s="4" customFormat="1" ht="94.5" customHeight="1" x14ac:dyDescent="0.25">
      <c r="A9" s="240"/>
      <c r="B9" s="242"/>
      <c r="C9" s="244"/>
      <c r="D9" s="244"/>
      <c r="E9" s="242"/>
      <c r="F9" s="246"/>
      <c r="G9" s="248"/>
      <c r="H9" s="250"/>
      <c r="I9" s="252"/>
      <c r="J9" s="231"/>
      <c r="K9" s="233"/>
      <c r="L9" s="234"/>
      <c r="M9" s="236"/>
      <c r="N9" s="238"/>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row>
    <row r="10" spans="1:45" s="3" customFormat="1" ht="217.5" customHeight="1" x14ac:dyDescent="0.25">
      <c r="A10" s="140">
        <v>1</v>
      </c>
      <c r="B10" s="107" t="s">
        <v>123</v>
      </c>
      <c r="C10" s="107" t="s">
        <v>232</v>
      </c>
      <c r="D10" s="107" t="s">
        <v>233</v>
      </c>
      <c r="E10" s="108" t="s">
        <v>272</v>
      </c>
      <c r="F10" s="109" t="s">
        <v>115</v>
      </c>
      <c r="G10" s="141">
        <v>12</v>
      </c>
      <c r="H10" s="113" t="str">
        <f t="shared" ref="H10:H17" si="0">IF(G10&lt;=0,"",IF(G10&lt;=2,"Muy Baja",IF(G10&lt;=24,"Baja",IF(G10&lt;=500,"Media",IF(G10&lt;=5000,"Alta","Muy Alta")))))</f>
        <v>Baja</v>
      </c>
      <c r="I10" s="114">
        <f t="shared" ref="I10:I17" si="1">IF(H10="","",IF(H10="Muy Baja",0.2,IF(H10="Baja",0.4,IF(H10="Media",0.6,IF(H10="Alta",0.8,IF(H10="Muy Alta",1,))))))</f>
        <v>0.4</v>
      </c>
      <c r="J10" s="110" t="s">
        <v>139</v>
      </c>
      <c r="K10" s="82" t="str">
        <f>IF(NOT(ISERROR(MATCH(J10,'Tabla Impacto'!$B$225:$B$227,0))),'Tabla Impacto'!$F$227&amp;"Por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113" t="str">
        <f>IF(OR(K10='Tabla Impacto'!$C$15,K10='Tabla Impacto'!$D$15),"Leve",IF(OR(K10='Tabla Impacto'!$C$16,K10='Tabla Impacto'!$D$16),"Menor",IF(OR(K10='Tabla Impacto'!$C$17,K10='Tabla Impacto'!$D$17),"Moderado",IF(OR(K10='Tabla Impacto'!$C$18,K10='Tabla Impacto'!$D$18),"Mayor",IF(OR(K10='Tabla Impacto'!$C$19,K10='Tabla Impacto'!$D$19),"Catastrófico","")))))</f>
        <v>Menor</v>
      </c>
      <c r="M10" s="114">
        <f t="shared" ref="M10:M17" si="2">IF(L10="","",IF(L10="Leve",0.2,IF(L10="Menor",0.4,IF(L10="Moderado",0.6,IF(L10="Mayor",0.8,IF(L10="Catastrófico",1,))))))</f>
        <v>0.4</v>
      </c>
      <c r="N10" s="142" t="str">
        <f t="shared" ref="N10:N17" si="3">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row>
    <row r="11" spans="1:45" s="3" customFormat="1" ht="216" customHeight="1" x14ac:dyDescent="0.25">
      <c r="A11" s="140">
        <v>2</v>
      </c>
      <c r="B11" s="107" t="s">
        <v>123</v>
      </c>
      <c r="C11" s="107" t="s">
        <v>234</v>
      </c>
      <c r="D11" s="107" t="s">
        <v>235</v>
      </c>
      <c r="E11" s="108" t="s">
        <v>273</v>
      </c>
      <c r="F11" s="109" t="s">
        <v>115</v>
      </c>
      <c r="G11" s="141">
        <v>20</v>
      </c>
      <c r="H11" s="113" t="str">
        <f t="shared" si="0"/>
        <v>Baja</v>
      </c>
      <c r="I11" s="114">
        <f t="shared" si="1"/>
        <v>0.4</v>
      </c>
      <c r="J11" s="110" t="s">
        <v>140</v>
      </c>
      <c r="K11" s="82" t="str">
        <f>IF(NOT(ISERROR(MATCH(J11,'Tabla Impacto'!$B$225:$B$227,0))),'Tabla Impacto'!$F$227&amp;"Por favor no seleccionar los criterios de impacto(Afectación Económica o presupuestal y Pérdida Reputacional)",J11)</f>
        <v xml:space="preserve">     El riesgo afecta la imagen de la entidad con algunos usuarios de relevancia frente al logro de los objetivos</v>
      </c>
      <c r="L11" s="113" t="str">
        <f>IF(OR(K11='Tabla Impacto'!$C$15,K11='Tabla Impacto'!$D$15),"Leve",IF(OR(K11='Tabla Impacto'!$C$16,K11='Tabla Impacto'!$D$16),"Menor",IF(OR(K11='Tabla Impacto'!$C$17,K11='Tabla Impacto'!$D$17),"Moderado",IF(OR(K11='Tabla Impacto'!$C$18,K11='Tabla Impacto'!$D$18),"Mayor",IF(OR(K11='Tabla Impacto'!$C$19,K11='Tabla Impacto'!$D$19),"Catastrófico","")))))</f>
        <v>Moderado</v>
      </c>
      <c r="M11" s="114">
        <f t="shared" si="2"/>
        <v>0.6</v>
      </c>
      <c r="N11" s="142" t="str">
        <f t="shared" si="3"/>
        <v>Moderado</v>
      </c>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1:45" s="3" customFormat="1" ht="254.25" customHeight="1" thickBot="1" x14ac:dyDescent="0.3">
      <c r="A12" s="140">
        <v>3</v>
      </c>
      <c r="B12" s="111" t="s">
        <v>123</v>
      </c>
      <c r="C12" s="111" t="s">
        <v>236</v>
      </c>
      <c r="D12" s="111" t="s">
        <v>237</v>
      </c>
      <c r="E12" s="112" t="s">
        <v>274</v>
      </c>
      <c r="F12" s="109" t="s">
        <v>115</v>
      </c>
      <c r="G12" s="143">
        <v>200</v>
      </c>
      <c r="H12" s="113" t="str">
        <f t="shared" si="0"/>
        <v>Media</v>
      </c>
      <c r="I12" s="114">
        <f t="shared" si="1"/>
        <v>0.6</v>
      </c>
      <c r="J12" s="110" t="s">
        <v>139</v>
      </c>
      <c r="K12" s="82" t="str">
        <f>IF(NOT(ISERROR(MATCH(J12,'Tabla Impacto'!$B$225:$B$227,0))),'Tabla Impacto'!$F$227&amp;"Por favor no seleccionar los criterios de impacto(Afectación Económica o presupuestal y Pérdida Reputacional)",J12)</f>
        <v xml:space="preserve">     El riesgo afecta la imagen de la entidad internamente, de conocimiento general, nivel interno, de junta dircetiva y accionistas y/o de provedores</v>
      </c>
      <c r="L12" s="113" t="str">
        <f>IF(OR(K12='Tabla Impacto'!$C$15,K12='Tabla Impacto'!$D$15),"Leve",IF(OR(K12='Tabla Impacto'!$C$16,K12='Tabla Impacto'!$D$16),"Menor",IF(OR(K12='Tabla Impacto'!$C$17,K12='Tabla Impacto'!$D$17),"Moderado",IF(OR(K12='Tabla Impacto'!$C$18,K12='Tabla Impacto'!$D$18),"Mayor",IF(OR(K12='Tabla Impacto'!$C$19,K12='Tabla Impacto'!$D$19),"Catastrófico","")))))</f>
        <v>Menor</v>
      </c>
      <c r="M12" s="114">
        <f t="shared" si="2"/>
        <v>0.4</v>
      </c>
      <c r="N12" s="142" t="str">
        <f t="shared" si="3"/>
        <v>Moderado</v>
      </c>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s="3" customFormat="1" ht="232.5" customHeight="1" x14ac:dyDescent="0.25">
      <c r="A13" s="140">
        <v>4</v>
      </c>
      <c r="B13" s="107" t="s">
        <v>121</v>
      </c>
      <c r="C13" s="118" t="s">
        <v>251</v>
      </c>
      <c r="D13" s="119" t="s">
        <v>252</v>
      </c>
      <c r="E13" s="120" t="s">
        <v>275</v>
      </c>
      <c r="F13" s="109" t="s">
        <v>115</v>
      </c>
      <c r="G13" s="141">
        <v>2</v>
      </c>
      <c r="H13" s="113" t="str">
        <f t="shared" si="0"/>
        <v>Muy Baja</v>
      </c>
      <c r="I13" s="114">
        <f t="shared" si="1"/>
        <v>0.2</v>
      </c>
      <c r="J13" s="110" t="s">
        <v>141</v>
      </c>
      <c r="K13" s="82" t="str">
        <f>IF(NOT(ISERROR(MATCH(J13,'Tabla Impacto'!$B$225:$B$227,0))),'Tabla Impacto'!$F$227&amp;"Por favor no seleccionar los criterios de impacto(Afectación Económica o presupuestal y Pérdida Reputacional)",J13)</f>
        <v xml:space="preserve">     El riesgo afecta la imagen de de la entidad con efecto publicitario sostenido a nivel de sector administrativo, nivel departamental o municipal</v>
      </c>
      <c r="L13" s="113" t="str">
        <f>IF(OR(K13='Tabla Impacto'!$C$15,K13='Tabla Impacto'!$D$15),"Leve",IF(OR(K13='Tabla Impacto'!$C$16,K13='Tabla Impacto'!$D$16),"Menor",IF(OR(K13='Tabla Impacto'!$C$17,K13='Tabla Impacto'!$D$17),"Moderado",IF(OR(K13='Tabla Impacto'!$C$18,K13='Tabla Impacto'!$D$18),"Mayor",IF(OR(K13='Tabla Impacto'!$C$19,K13='Tabla Impacto'!$D$19),"Catastrófico","")))))</f>
        <v>Mayor</v>
      </c>
      <c r="M13" s="114">
        <f t="shared" si="2"/>
        <v>0.8</v>
      </c>
      <c r="N13" s="142" t="str">
        <f t="shared" si="3"/>
        <v>Alto</v>
      </c>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s="3" customFormat="1" ht="192.75" customHeight="1" x14ac:dyDescent="0.25">
      <c r="A14" s="140">
        <v>5</v>
      </c>
      <c r="B14" s="107" t="s">
        <v>121</v>
      </c>
      <c r="C14" s="107" t="s">
        <v>261</v>
      </c>
      <c r="D14" s="107" t="s">
        <v>262</v>
      </c>
      <c r="E14" s="122" t="s">
        <v>276</v>
      </c>
      <c r="F14" s="109" t="s">
        <v>115</v>
      </c>
      <c r="G14" s="141">
        <v>150</v>
      </c>
      <c r="H14" s="113" t="str">
        <f t="shared" si="0"/>
        <v>Media</v>
      </c>
      <c r="I14" s="114">
        <f t="shared" si="1"/>
        <v>0.6</v>
      </c>
      <c r="J14" s="110" t="s">
        <v>138</v>
      </c>
      <c r="K14" s="82" t="str">
        <f>IF(NOT(ISERROR(MATCH(J14,'Tabla Impacto'!$B$225:$B$227,0))),'Tabla Impacto'!$F$227&amp;"Por favor no seleccionar los criterios de impacto(Afectación Económica o presupuestal y Pérdida Reputacional)",J14)</f>
        <v xml:space="preserve">     El riesgo afecta la imagen de alguna área de la organización</v>
      </c>
      <c r="L14" s="113" t="str">
        <f>IF(OR(K14='Tabla Impacto'!$C$15,K14='Tabla Impacto'!$D$15),"Leve",IF(OR(K14='Tabla Impacto'!$C$16,K14='Tabla Impacto'!$D$16),"Menor",IF(OR(K14='Tabla Impacto'!$C$17,K14='Tabla Impacto'!$D$17),"Moderado",IF(OR(K14='Tabla Impacto'!$C$18,K14='Tabla Impacto'!$D$18),"Mayor",IF(OR(K14='Tabla Impacto'!$C$19,K14='Tabla Impacto'!$D$19),"Catastrófico","")))))</f>
        <v>Leve</v>
      </c>
      <c r="M14" s="114">
        <f t="shared" si="2"/>
        <v>0.2</v>
      </c>
      <c r="N14" s="142" t="str">
        <f t="shared" si="3"/>
        <v>Moderado</v>
      </c>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row>
    <row r="15" spans="1:45" s="3" customFormat="1" ht="135.75" customHeight="1" x14ac:dyDescent="0.25">
      <c r="A15" s="140">
        <v>6</v>
      </c>
      <c r="B15" s="107" t="s">
        <v>121</v>
      </c>
      <c r="C15" s="107" t="s">
        <v>265</v>
      </c>
      <c r="D15" s="107" t="s">
        <v>266</v>
      </c>
      <c r="E15" s="108" t="s">
        <v>271</v>
      </c>
      <c r="F15" s="109" t="s">
        <v>115</v>
      </c>
      <c r="G15" s="141">
        <v>28</v>
      </c>
      <c r="H15" s="113" t="str">
        <f t="shared" si="0"/>
        <v>Media</v>
      </c>
      <c r="I15" s="114">
        <f t="shared" si="1"/>
        <v>0.6</v>
      </c>
      <c r="J15" s="110" t="s">
        <v>134</v>
      </c>
      <c r="K15" s="82" t="str">
        <f>IF(NOT(ISERROR(MATCH(J15,'Tabla Impacto'!$B$225:$B$227,0))),'Tabla Impacto'!$F$227&amp;"Por favor no seleccionar los criterios de impacto(Afectación Económica o presupuestal y Pérdida Reputacional)",J15)</f>
        <v xml:space="preserve">     Entre 50 y 100 SMLMV </v>
      </c>
      <c r="L15" s="113" t="str">
        <f>IF(OR(K15='Tabla Impacto'!$C$15,K15='Tabla Impacto'!$D$15),"Leve",IF(OR(K15='Tabla Impacto'!$C$16,K15='Tabla Impacto'!$D$16),"Menor",IF(OR(K15='Tabla Impacto'!$C$17,K15='Tabla Impacto'!$D$17),"Moderado",IF(OR(K15='Tabla Impacto'!$C$18,K15='Tabla Impacto'!$D$18),"Mayor",IF(OR(K15='Tabla Impacto'!$C$19,K15='Tabla Impacto'!$D$19),"Catastrófico","")))))</f>
        <v>Moderado</v>
      </c>
      <c r="M15" s="114">
        <f t="shared" si="2"/>
        <v>0.6</v>
      </c>
      <c r="N15" s="142" t="str">
        <f t="shared" si="3"/>
        <v>Moderado</v>
      </c>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row>
    <row r="16" spans="1:45" s="3" customFormat="1" ht="177" customHeight="1" x14ac:dyDescent="0.25">
      <c r="A16" s="140">
        <v>7</v>
      </c>
      <c r="B16" s="107" t="s">
        <v>123</v>
      </c>
      <c r="C16" s="107" t="s">
        <v>277</v>
      </c>
      <c r="D16" s="107" t="s">
        <v>233</v>
      </c>
      <c r="E16" s="108" t="s">
        <v>282</v>
      </c>
      <c r="F16" s="109" t="s">
        <v>115</v>
      </c>
      <c r="G16" s="141">
        <v>12</v>
      </c>
      <c r="H16" s="113" t="str">
        <f t="shared" si="0"/>
        <v>Baja</v>
      </c>
      <c r="I16" s="114">
        <f t="shared" si="1"/>
        <v>0.4</v>
      </c>
      <c r="J16" s="110" t="s">
        <v>140</v>
      </c>
      <c r="K16" s="82" t="str">
        <f>IF(NOT(ISERROR(MATCH(J16,'Tabla Impacto'!$B$225:$B$227,0))),'Tabla Impacto'!$F$227&amp;"Por favor no seleccionar los criterios de impacto(Afectación Económica o presupuestal y Pérdida Reputacional)",J16)</f>
        <v xml:space="preserve">     El riesgo afecta la imagen de la entidad con algunos usuarios de relevancia frente al logro de los objetivos</v>
      </c>
      <c r="L16" s="113" t="str">
        <f>IF(OR(K16='Tabla Impacto'!$C$15,K16='Tabla Impacto'!$D$15),"Leve",IF(OR(K16='Tabla Impacto'!$C$16,K16='Tabla Impacto'!$D$16),"Menor",IF(OR(K16='Tabla Impacto'!$C$17,K16='Tabla Impacto'!$D$17),"Moderado",IF(OR(K16='Tabla Impacto'!$C$18,K16='Tabla Impacto'!$D$18),"Mayor",IF(OR(K16='Tabla Impacto'!$C$19,K16='Tabla Impacto'!$D$19),"Catastrófico","")))))</f>
        <v>Moderado</v>
      </c>
      <c r="M16" s="114">
        <f t="shared" si="2"/>
        <v>0.6</v>
      </c>
      <c r="N16" s="142" t="str">
        <f t="shared" si="3"/>
        <v>Moderado</v>
      </c>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row>
    <row r="17" spans="1:45" s="3" customFormat="1" ht="201" customHeight="1" x14ac:dyDescent="0.25">
      <c r="A17" s="140">
        <v>8</v>
      </c>
      <c r="B17" s="107" t="s">
        <v>123</v>
      </c>
      <c r="C17" s="107" t="s">
        <v>283</v>
      </c>
      <c r="D17" s="107" t="s">
        <v>284</v>
      </c>
      <c r="E17" s="109" t="s">
        <v>287</v>
      </c>
      <c r="F17" s="109" t="s">
        <v>115</v>
      </c>
      <c r="G17" s="141">
        <v>1</v>
      </c>
      <c r="H17" s="113" t="str">
        <f t="shared" si="0"/>
        <v>Muy Baja</v>
      </c>
      <c r="I17" s="114">
        <f t="shared" si="1"/>
        <v>0.2</v>
      </c>
      <c r="J17" s="110" t="s">
        <v>139</v>
      </c>
      <c r="K17" s="82" t="str">
        <f>IF(NOT(ISERROR(MATCH(J17,'Tabla Impacto'!$B$225:$B$227,0))),'Tabla Impacto'!$F$227&amp;"Por favor no seleccionar los criterios de impacto(Afectación Económica o presupuestal y Pérdida Reputacional)",J17)</f>
        <v xml:space="preserve">     El riesgo afecta la imagen de la entidad internamente, de conocimiento general, nivel interno, de junta dircetiva y accionistas y/o de provedores</v>
      </c>
      <c r="L17" s="113" t="str">
        <f>IF(OR(K17='Tabla Impacto'!$C$15,K17='Tabla Impacto'!$D$15),"Leve",IF(OR(K17='Tabla Impacto'!$C$16,K17='Tabla Impacto'!$D$16),"Menor",IF(OR(K17='Tabla Impacto'!$C$17,K17='Tabla Impacto'!$D$17),"Moderado",IF(OR(K17='Tabla Impacto'!$C$18,K17='Tabla Impacto'!$D$18),"Mayor",IF(OR(K17='Tabla Impacto'!$C$19,K17='Tabla Impacto'!$D$19),"Catastrófico","")))))</f>
        <v>Menor</v>
      </c>
      <c r="M17" s="114">
        <f t="shared" si="2"/>
        <v>0.4</v>
      </c>
      <c r="N17" s="142" t="str">
        <f t="shared" si="3"/>
        <v>Bajo</v>
      </c>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row>
    <row r="18" spans="1:45" s="3" customFormat="1" ht="162" customHeight="1" x14ac:dyDescent="0.25">
      <c r="A18" s="144">
        <v>9</v>
      </c>
      <c r="B18" s="107" t="s">
        <v>123</v>
      </c>
      <c r="C18" s="107" t="s">
        <v>285</v>
      </c>
      <c r="D18" s="107" t="s">
        <v>286</v>
      </c>
      <c r="E18" s="108" t="s">
        <v>288</v>
      </c>
      <c r="F18" s="109" t="s">
        <v>115</v>
      </c>
      <c r="G18" s="141">
        <v>188</v>
      </c>
      <c r="H18" s="113" t="str">
        <f t="shared" ref="H18:H38" si="4">IF(G18&lt;=0,"",IF(G18&lt;=2,"Muy Baja",IF(G18&lt;=24,"Baja",IF(G18&lt;=500,"Media",IF(G18&lt;=5000,"Alta","Muy Alta")))))</f>
        <v>Media</v>
      </c>
      <c r="I18" s="114">
        <f t="shared" ref="I18:I38" si="5">IF(H18="","",IF(H18="Muy Baja",0.2,IF(H18="Baja",0.4,IF(H18="Media",0.6,IF(H18="Alta",0.8,IF(H18="Muy Alta",1,))))))</f>
        <v>0.6</v>
      </c>
      <c r="J18" s="110" t="s">
        <v>139</v>
      </c>
      <c r="K18" s="82" t="str">
        <f>IF(NOT(ISERROR(MATCH(J18,'Tabla Impacto'!$B$225:$B$227,0))),'Tabla Impacto'!$F$227&amp;"Por favor no seleccionar los criterios de impacto(Afectación Económica o presupuestal y Pérdida Reputacional)",J18)</f>
        <v xml:space="preserve">     El riesgo afecta la imagen de la entidad internamente, de conocimiento general, nivel interno, de junta dircetiva y accionistas y/o de provedores</v>
      </c>
      <c r="L18" s="113" t="str">
        <f>IF(OR(K18='Tabla Impacto'!$C$15,K18='Tabla Impacto'!$D$15),"Leve",IF(OR(K18='Tabla Impacto'!$C$16,K18='Tabla Impacto'!$D$16),"Menor",IF(OR(K18='Tabla Impacto'!$C$17,K18='Tabla Impacto'!$D$17),"Moderado",IF(OR(K18='Tabla Impacto'!$C$18,K18='Tabla Impacto'!$D$18),"Mayor",IF(OR(K18='Tabla Impacto'!$C$19,K18='Tabla Impacto'!$D$19),"Catastrófico","")))))</f>
        <v>Menor</v>
      </c>
      <c r="M18" s="114">
        <f t="shared" ref="M18:M38" si="6">IF(L18="","",IF(L18="Leve",0.2,IF(L18="Menor",0.4,IF(L18="Moderado",0.6,IF(L18="Mayor",0.8,IF(L18="Catastrófico",1,))))))</f>
        <v>0.4</v>
      </c>
      <c r="N18" s="142" t="str">
        <f t="shared" ref="N18:N38" si="7">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row>
    <row r="19" spans="1:45" s="3" customFormat="1" ht="202.5" customHeight="1" x14ac:dyDescent="0.25">
      <c r="A19" s="144">
        <v>10</v>
      </c>
      <c r="B19" s="107" t="s">
        <v>123</v>
      </c>
      <c r="C19" s="107" t="s">
        <v>299</v>
      </c>
      <c r="D19" s="107" t="s">
        <v>300</v>
      </c>
      <c r="E19" s="108" t="s">
        <v>301</v>
      </c>
      <c r="F19" s="109" t="s">
        <v>115</v>
      </c>
      <c r="G19" s="392">
        <v>18</v>
      </c>
      <c r="H19" s="113" t="str">
        <f t="shared" si="4"/>
        <v>Baja</v>
      </c>
      <c r="I19" s="114">
        <f t="shared" si="5"/>
        <v>0.4</v>
      </c>
      <c r="J19" s="110" t="s">
        <v>138</v>
      </c>
      <c r="K19" s="82" t="str">
        <f>IF(NOT(ISERROR(MATCH(J19,'Tabla Impacto'!$B$225:$B$227,0))),'Tabla Impacto'!$F$227&amp;"Por favor no seleccionar los criterios de impacto(Afectación Económica o presupuestal y Pérdida Reputacional)",J19)</f>
        <v xml:space="preserve">     El riesgo afecta la imagen de alguna área de la organización</v>
      </c>
      <c r="L19" s="113" t="str">
        <f>IF(OR(K19='Tabla Impacto'!$C$15,K19='Tabla Impacto'!$D$15),"Leve",IF(OR(K19='Tabla Impacto'!$C$16,K19='Tabla Impacto'!$D$16),"Menor",IF(OR(K19='Tabla Impacto'!$C$17,K19='Tabla Impacto'!$D$17),"Moderado",IF(OR(K19='Tabla Impacto'!$C$18,K19='Tabla Impacto'!$D$18),"Mayor",IF(OR(K19='Tabla Impacto'!$C$19,K19='Tabla Impacto'!$D$19),"Catastrófico","")))))</f>
        <v>Leve</v>
      </c>
      <c r="M19" s="114">
        <f t="shared" si="6"/>
        <v>0.2</v>
      </c>
      <c r="N19" s="142" t="str">
        <f t="shared" si="7"/>
        <v>Bajo</v>
      </c>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row>
    <row r="20" spans="1:45" s="3" customFormat="1" ht="188.25" customHeight="1" x14ac:dyDescent="0.25">
      <c r="A20" s="144">
        <v>11</v>
      </c>
      <c r="B20" s="107" t="s">
        <v>123</v>
      </c>
      <c r="C20" s="107" t="s">
        <v>306</v>
      </c>
      <c r="D20" s="107" t="s">
        <v>307</v>
      </c>
      <c r="E20" s="108" t="s">
        <v>308</v>
      </c>
      <c r="F20" s="109" t="s">
        <v>115</v>
      </c>
      <c r="G20" s="392">
        <v>10000</v>
      </c>
      <c r="H20" s="113" t="str">
        <f t="shared" si="4"/>
        <v>Muy Alta</v>
      </c>
      <c r="I20" s="114">
        <f t="shared" si="5"/>
        <v>1</v>
      </c>
      <c r="J20" s="110" t="s">
        <v>141</v>
      </c>
      <c r="K20" s="82" t="str">
        <f>IF(NOT(ISERROR(MATCH(J20,'Tabla Impacto'!$B$225:$B$227,0))),'Tabla Impacto'!$F$227&amp;"Por favor no seleccionar los criterios de impacto(Afectación Económica o presupuestal y Pérdida Reputacional)",J20)</f>
        <v xml:space="preserve">     El riesgo afecta la imagen de de la entidad con efecto publicitario sostenido a nivel de sector administrativo, nivel departamental o municipal</v>
      </c>
      <c r="L20" s="113" t="str">
        <f>IF(OR(K20='Tabla Impacto'!$C$15,K20='Tabla Impacto'!$D$15),"Leve",IF(OR(K20='Tabla Impacto'!$C$16,K20='Tabla Impacto'!$D$16),"Menor",IF(OR(K20='Tabla Impacto'!$C$17,K20='Tabla Impacto'!$D$17),"Moderado",IF(OR(K20='Tabla Impacto'!$C$18,K20='Tabla Impacto'!$D$18),"Mayor",IF(OR(K20='Tabla Impacto'!$C$19,K20='Tabla Impacto'!$D$19),"Catastrófico","")))))</f>
        <v>Mayor</v>
      </c>
      <c r="M20" s="114">
        <f t="shared" si="6"/>
        <v>0.8</v>
      </c>
      <c r="N20" s="142" t="str">
        <f t="shared" si="7"/>
        <v>Alto</v>
      </c>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row>
    <row r="21" spans="1:45" s="3" customFormat="1" ht="99.75" customHeight="1" x14ac:dyDescent="0.25">
      <c r="A21" s="144">
        <v>12</v>
      </c>
      <c r="B21" s="107" t="s">
        <v>121</v>
      </c>
      <c r="C21" s="107" t="s">
        <v>322</v>
      </c>
      <c r="D21" s="107" t="s">
        <v>323</v>
      </c>
      <c r="E21" s="109" t="s">
        <v>329</v>
      </c>
      <c r="F21" s="109" t="s">
        <v>115</v>
      </c>
      <c r="G21" s="141">
        <v>12</v>
      </c>
      <c r="H21" s="113" t="str">
        <f t="shared" si="4"/>
        <v>Baja</v>
      </c>
      <c r="I21" s="114">
        <f t="shared" si="5"/>
        <v>0.4</v>
      </c>
      <c r="J21" s="110" t="s">
        <v>134</v>
      </c>
      <c r="K21" s="82" t="str">
        <f>IF(NOT(ISERROR(MATCH(J21,'Tabla Impacto'!$B$225:$B$227,0))),'Tabla Impacto'!$F$227&amp;"Por favor no seleccionar los criterios de impacto(Afectación Económica o presupuestal y Pérdida Reputacional)",J21)</f>
        <v xml:space="preserve">     Entre 50 y 100 SMLMV </v>
      </c>
      <c r="L21" s="113" t="str">
        <f>IF(OR(K21='Tabla Impacto'!$C$15,K21='Tabla Impacto'!$D$15),"Leve",IF(OR(K21='Tabla Impacto'!$C$16,K21='Tabla Impacto'!$D$16),"Menor",IF(OR(K21='Tabla Impacto'!$C$17,K21='Tabla Impacto'!$D$17),"Moderado",IF(OR(K21='Tabla Impacto'!$C$18,K21='Tabla Impacto'!$D$18),"Mayor",IF(OR(K21='Tabla Impacto'!$C$19,K21='Tabla Impacto'!$D$19),"Catastrófico","")))))</f>
        <v>Moderado</v>
      </c>
      <c r="M21" s="114">
        <f t="shared" si="6"/>
        <v>0.6</v>
      </c>
      <c r="N21" s="142" t="str">
        <f t="shared" si="7"/>
        <v>Moderado</v>
      </c>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row>
    <row r="22" spans="1:45" s="3" customFormat="1" ht="102" customHeight="1" x14ac:dyDescent="0.25">
      <c r="A22" s="144">
        <v>13</v>
      </c>
      <c r="B22" s="107" t="s">
        <v>121</v>
      </c>
      <c r="C22" s="107" t="s">
        <v>324</v>
      </c>
      <c r="D22" s="107" t="s">
        <v>325</v>
      </c>
      <c r="E22" s="109" t="s">
        <v>330</v>
      </c>
      <c r="F22" s="109" t="s">
        <v>115</v>
      </c>
      <c r="G22" s="141">
        <v>4</v>
      </c>
      <c r="H22" s="113" t="str">
        <f t="shared" si="4"/>
        <v>Baja</v>
      </c>
      <c r="I22" s="114">
        <f t="shared" si="5"/>
        <v>0.4</v>
      </c>
      <c r="J22" s="110" t="s">
        <v>135</v>
      </c>
      <c r="K22" s="82" t="str">
        <f>IF(NOT(ISERROR(MATCH(J22,'Tabla Impacto'!$B$225:$B$227,0))),'Tabla Impacto'!$F$227&amp;"Por favor no seleccionar los criterios de impacto(Afectación Económica o presupuestal y Pérdida Reputacional)",J22)</f>
        <v xml:space="preserve">     Entre 10 y 50 SMLMV </v>
      </c>
      <c r="L22" s="113" t="str">
        <f>IF(OR(K22='Tabla Impacto'!$C$15,K22='Tabla Impacto'!$D$15),"Leve",IF(OR(K22='Tabla Impacto'!$C$16,K22='Tabla Impacto'!$D$16),"Menor",IF(OR(K22='Tabla Impacto'!$C$17,K22='Tabla Impacto'!$D$17),"Moderado",IF(OR(K22='Tabla Impacto'!$C$18,K22='Tabla Impacto'!$D$18),"Mayor",IF(OR(K22='Tabla Impacto'!$C$19,K22='Tabla Impacto'!$D$19),"Catastrófico","")))))</f>
        <v>Menor</v>
      </c>
      <c r="M22" s="114">
        <f t="shared" si="6"/>
        <v>0.4</v>
      </c>
      <c r="N22" s="142" t="str">
        <f t="shared" si="7"/>
        <v>Moderado</v>
      </c>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row>
    <row r="23" spans="1:45" s="3" customFormat="1" ht="153" customHeight="1" x14ac:dyDescent="0.25">
      <c r="A23" s="144">
        <v>14</v>
      </c>
      <c r="B23" s="107" t="s">
        <v>123</v>
      </c>
      <c r="C23" s="107" t="s">
        <v>333</v>
      </c>
      <c r="D23" s="107" t="s">
        <v>233</v>
      </c>
      <c r="E23" s="108" t="s">
        <v>340</v>
      </c>
      <c r="F23" s="109" t="s">
        <v>115</v>
      </c>
      <c r="G23" s="392">
        <v>130</v>
      </c>
      <c r="H23" s="113" t="str">
        <f t="shared" si="4"/>
        <v>Media</v>
      </c>
      <c r="I23" s="114">
        <f t="shared" si="5"/>
        <v>0.6</v>
      </c>
      <c r="J23" s="110" t="s">
        <v>134</v>
      </c>
      <c r="K23" s="82" t="str">
        <f>IF(NOT(ISERROR(MATCH(J23,'Tabla Impacto'!$B$225:$B$227,0))),'Tabla Impacto'!$F$227&amp;"Por favor no seleccionar los criterios de impacto(Afectación Económica o presupuestal y Pérdida Reputacional)",J23)</f>
        <v xml:space="preserve">     Entre 50 y 100 SMLMV </v>
      </c>
      <c r="L23" s="113" t="str">
        <f>IF(OR(K23='Tabla Impacto'!$C$15,K23='Tabla Impacto'!$D$15),"Leve",IF(OR(K23='Tabla Impacto'!$C$16,K23='Tabla Impacto'!$D$16),"Menor",IF(OR(K23='Tabla Impacto'!$C$17,K23='Tabla Impacto'!$D$17),"Moderado",IF(OR(K23='Tabla Impacto'!$C$18,K23='Tabla Impacto'!$D$18),"Mayor",IF(OR(K23='Tabla Impacto'!$C$19,K23='Tabla Impacto'!$D$19),"Catastrófico","")))))</f>
        <v>Moderado</v>
      </c>
      <c r="M23" s="114">
        <f t="shared" si="6"/>
        <v>0.6</v>
      </c>
      <c r="N23" s="142" t="str">
        <f t="shared" si="7"/>
        <v>Moderado</v>
      </c>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row>
    <row r="24" spans="1:45" s="3" customFormat="1" ht="133.5" customHeight="1" x14ac:dyDescent="0.25">
      <c r="A24" s="144">
        <v>15</v>
      </c>
      <c r="B24" s="107" t="s">
        <v>123</v>
      </c>
      <c r="C24" s="107" t="s">
        <v>341</v>
      </c>
      <c r="D24" s="107" t="s">
        <v>342</v>
      </c>
      <c r="E24" s="108" t="s">
        <v>351</v>
      </c>
      <c r="F24" s="109" t="s">
        <v>115</v>
      </c>
      <c r="G24" s="392">
        <v>18</v>
      </c>
      <c r="H24" s="113" t="str">
        <f t="shared" si="4"/>
        <v>Baja</v>
      </c>
      <c r="I24" s="114">
        <f t="shared" si="5"/>
        <v>0.4</v>
      </c>
      <c r="J24" s="110" t="s">
        <v>141</v>
      </c>
      <c r="K24" s="82" t="str">
        <f>IF(NOT(ISERROR(MATCH(J24,'Tabla Impacto'!$B$225:$B$227,0))),'Tabla Impacto'!$F$227&amp;"Por favor no seleccionar los criterios de impacto(Afectación Económica o presupuestal y Pérdida Reputacional)",J24)</f>
        <v xml:space="preserve">     El riesgo afecta la imagen de de la entidad con efecto publicitario sostenido a nivel de sector administrativo, nivel departamental o municipal</v>
      </c>
      <c r="L24" s="113" t="str">
        <f>IF(OR(K24='Tabla Impacto'!$C$15,K24='Tabla Impacto'!$D$15),"Leve",IF(OR(K24='Tabla Impacto'!$C$16,K24='Tabla Impacto'!$D$16),"Menor",IF(OR(K24='Tabla Impacto'!$C$17,K24='Tabla Impacto'!$D$17),"Moderado",IF(OR(K24='Tabla Impacto'!$C$18,K24='Tabla Impacto'!$D$18),"Mayor",IF(OR(K24='Tabla Impacto'!$C$19,K24='Tabla Impacto'!$D$19),"Catastrófico","")))))</f>
        <v>Mayor</v>
      </c>
      <c r="M24" s="114">
        <f t="shared" si="6"/>
        <v>0.8</v>
      </c>
      <c r="N24" s="142" t="str">
        <f t="shared" si="7"/>
        <v>Alto</v>
      </c>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row>
    <row r="25" spans="1:45" s="3" customFormat="1" ht="169.5" customHeight="1" x14ac:dyDescent="0.25">
      <c r="A25" s="144">
        <v>16</v>
      </c>
      <c r="B25" s="107" t="s">
        <v>123</v>
      </c>
      <c r="C25" s="107" t="s">
        <v>352</v>
      </c>
      <c r="D25" s="107" t="s">
        <v>353</v>
      </c>
      <c r="E25" s="108" t="s">
        <v>380</v>
      </c>
      <c r="F25" s="109" t="s">
        <v>115</v>
      </c>
      <c r="G25" s="392">
        <v>3190</v>
      </c>
      <c r="H25" s="113" t="str">
        <f t="shared" si="4"/>
        <v>Alta</v>
      </c>
      <c r="I25" s="114">
        <f t="shared" si="5"/>
        <v>0.8</v>
      </c>
      <c r="J25" s="110" t="s">
        <v>135</v>
      </c>
      <c r="K25" s="82" t="str">
        <f>IF(NOT(ISERROR(MATCH(J25,'Tabla Impacto'!$B$225:$B$227,0))),'Tabla Impacto'!$F$227&amp;"Por favor no seleccionar los criterios de impacto(Afectación Económica o presupuestal y Pérdida Reputacional)",J25)</f>
        <v xml:space="preserve">     Entre 10 y 50 SMLMV </v>
      </c>
      <c r="L25" s="113" t="str">
        <f>IF(OR(K25='Tabla Impacto'!$C$15,K25='Tabla Impacto'!$D$15),"Leve",IF(OR(K25='Tabla Impacto'!$C$16,K25='Tabla Impacto'!$D$16),"Menor",IF(OR(K25='Tabla Impacto'!$C$17,K25='Tabla Impacto'!$D$17),"Moderado",IF(OR(K25='Tabla Impacto'!$C$18,K25='Tabla Impacto'!$D$18),"Mayor",IF(OR(K25='Tabla Impacto'!$C$19,K25='Tabla Impacto'!$D$19),"Catastrófico","")))))</f>
        <v>Menor</v>
      </c>
      <c r="M25" s="114">
        <f t="shared" si="6"/>
        <v>0.4</v>
      </c>
      <c r="N25" s="142" t="str">
        <f t="shared" si="7"/>
        <v>Moderado</v>
      </c>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row>
    <row r="26" spans="1:45" s="3" customFormat="1" ht="153" customHeight="1" x14ac:dyDescent="0.25">
      <c r="A26" s="144">
        <v>17</v>
      </c>
      <c r="B26" s="107" t="s">
        <v>121</v>
      </c>
      <c r="C26" s="107" t="s">
        <v>362</v>
      </c>
      <c r="D26" s="107" t="s">
        <v>363</v>
      </c>
      <c r="E26" s="108" t="s">
        <v>381</v>
      </c>
      <c r="F26" s="109" t="s">
        <v>115</v>
      </c>
      <c r="G26" s="392">
        <v>3</v>
      </c>
      <c r="H26" s="113" t="str">
        <f t="shared" si="4"/>
        <v>Baja</v>
      </c>
      <c r="I26" s="114">
        <f t="shared" si="5"/>
        <v>0.4</v>
      </c>
      <c r="J26" s="110" t="s">
        <v>138</v>
      </c>
      <c r="K26" s="82" t="str">
        <f>IF(NOT(ISERROR(MATCH(J26,'Tabla Impacto'!$B$225:$B$227,0))),'Tabla Impacto'!$F$227&amp;"Por favor no seleccionar los criterios de impacto(Afectación Económica o presupuestal y Pérdida Reputacional)",J26)</f>
        <v xml:space="preserve">     El riesgo afecta la imagen de alguna área de la organización</v>
      </c>
      <c r="L26" s="113" t="str">
        <f>IF(OR(K26='Tabla Impacto'!$C$15,K26='Tabla Impacto'!$D$15),"Leve",IF(OR(K26='Tabla Impacto'!$C$16,K26='Tabla Impacto'!$D$16),"Menor",IF(OR(K26='Tabla Impacto'!$C$17,K26='Tabla Impacto'!$D$17),"Moderado",IF(OR(K26='Tabla Impacto'!$C$18,K26='Tabla Impacto'!$D$18),"Mayor",IF(OR(K26='Tabla Impacto'!$C$19,K26='Tabla Impacto'!$D$19),"Catastrófico","")))))</f>
        <v>Leve</v>
      </c>
      <c r="M26" s="114">
        <f t="shared" si="6"/>
        <v>0.2</v>
      </c>
      <c r="N26" s="142" t="str">
        <f t="shared" si="7"/>
        <v>Bajo</v>
      </c>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row>
    <row r="27" spans="1:45" s="3" customFormat="1" ht="267.75" customHeight="1" x14ac:dyDescent="0.25">
      <c r="A27" s="144">
        <v>18</v>
      </c>
      <c r="B27" s="107" t="s">
        <v>123</v>
      </c>
      <c r="C27" s="107" t="s">
        <v>364</v>
      </c>
      <c r="D27" s="107" t="s">
        <v>365</v>
      </c>
      <c r="E27" s="108" t="s">
        <v>382</v>
      </c>
      <c r="F27" s="109" t="s">
        <v>115</v>
      </c>
      <c r="G27" s="392">
        <v>168</v>
      </c>
      <c r="H27" s="113" t="str">
        <f t="shared" si="4"/>
        <v>Media</v>
      </c>
      <c r="I27" s="114">
        <f t="shared" si="5"/>
        <v>0.6</v>
      </c>
      <c r="J27" s="110" t="s">
        <v>140</v>
      </c>
      <c r="K27" s="82" t="str">
        <f>IF(NOT(ISERROR(MATCH(J27,'Tabla Impacto'!$B$225:$B$227,0))),'Tabla Impacto'!$F$227&amp;"Por favor no seleccionar los criterios de impacto(Afectación Económica o presupuestal y Pérdida Reputacional)",J27)</f>
        <v xml:space="preserve">     El riesgo afecta la imagen de la entidad con algunos usuarios de relevancia frente al logro de los objetivos</v>
      </c>
      <c r="L27" s="113" t="str">
        <f>IF(OR(K27='Tabla Impacto'!$C$15,K27='Tabla Impacto'!$D$15),"Leve",IF(OR(K27='Tabla Impacto'!$C$16,K27='Tabla Impacto'!$D$16),"Menor",IF(OR(K27='Tabla Impacto'!$C$17,K27='Tabla Impacto'!$D$17),"Moderado",IF(OR(K27='Tabla Impacto'!$C$18,K27='Tabla Impacto'!$D$18),"Mayor",IF(OR(K27='Tabla Impacto'!$C$19,K27='Tabla Impacto'!$D$19),"Catastrófico","")))))</f>
        <v>Moderado</v>
      </c>
      <c r="M27" s="114">
        <f t="shared" si="6"/>
        <v>0.6</v>
      </c>
      <c r="N27" s="142" t="str">
        <f t="shared" si="7"/>
        <v>Moderado</v>
      </c>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row>
    <row r="28" spans="1:45" s="3" customFormat="1" ht="159" customHeight="1" x14ac:dyDescent="0.25">
      <c r="A28" s="144">
        <v>19</v>
      </c>
      <c r="B28" s="107" t="s">
        <v>123</v>
      </c>
      <c r="C28" s="107" t="s">
        <v>277</v>
      </c>
      <c r="D28" s="107" t="s">
        <v>366</v>
      </c>
      <c r="E28" s="108" t="s">
        <v>383</v>
      </c>
      <c r="F28" s="109" t="s">
        <v>115</v>
      </c>
      <c r="G28" s="392">
        <v>10</v>
      </c>
      <c r="H28" s="113" t="str">
        <f t="shared" si="4"/>
        <v>Baja</v>
      </c>
      <c r="I28" s="114">
        <f t="shared" si="5"/>
        <v>0.4</v>
      </c>
      <c r="J28" s="110" t="s">
        <v>137</v>
      </c>
      <c r="K28" s="82" t="str">
        <f>IF(NOT(ISERROR(MATCH(J28,'Tabla Impacto'!$B$225:$B$227,0))),'Tabla Impacto'!$F$227&amp;"Por favor no seleccionar los criterios de impacto(Afectación Económica o presupuestal y Pérdida Reputacional)",J28)</f>
        <v xml:space="preserve">     Mayor a 500 SMLMV </v>
      </c>
      <c r="L28" s="113" t="str">
        <f>IF(OR(K28='Tabla Impacto'!$C$15,K28='Tabla Impacto'!$D$15),"Leve",IF(OR(K28='Tabla Impacto'!$C$16,K28='Tabla Impacto'!$D$16),"Menor",IF(OR(K28='Tabla Impacto'!$C$17,K28='Tabla Impacto'!$D$17),"Moderado",IF(OR(K28='Tabla Impacto'!$C$18,K28='Tabla Impacto'!$D$18),"Mayor",IF(OR(K28='Tabla Impacto'!$C$19,K28='Tabla Impacto'!$D$19),"Catastrófico","")))))</f>
        <v>Catastrófico</v>
      </c>
      <c r="M28" s="114">
        <f t="shared" si="6"/>
        <v>1</v>
      </c>
      <c r="N28" s="142" t="str">
        <f t="shared" si="7"/>
        <v>Extremo</v>
      </c>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row>
    <row r="29" spans="1:45" s="3" customFormat="1" ht="111.75" customHeight="1" x14ac:dyDescent="0.25">
      <c r="A29" s="144">
        <v>20</v>
      </c>
      <c r="B29" s="107" t="s">
        <v>123</v>
      </c>
      <c r="C29" s="104" t="s">
        <v>379</v>
      </c>
      <c r="D29" s="104" t="s">
        <v>366</v>
      </c>
      <c r="E29" s="393" t="s">
        <v>384</v>
      </c>
      <c r="F29" s="394" t="s">
        <v>115</v>
      </c>
      <c r="G29" s="392">
        <v>800</v>
      </c>
      <c r="H29" s="113" t="str">
        <f t="shared" si="4"/>
        <v>Alta</v>
      </c>
      <c r="I29" s="114">
        <f t="shared" si="5"/>
        <v>0.8</v>
      </c>
      <c r="J29" s="110" t="s">
        <v>142</v>
      </c>
      <c r="K29" s="82" t="str">
        <f>IF(NOT(ISERROR(MATCH(J29,'Tabla Impacto'!$B$225:$B$227,0))),'Tabla Impacto'!$F$227&amp;"Por favor no seleccionar los criterios de impacto(Afectación Económica o presupuestal y Pérdida Reputacional)",J29)</f>
        <v xml:space="preserve">     El riesgo afecta la imagen de la entidad a nivel nacional, con efecto publicitarios sostenible a nivel país</v>
      </c>
      <c r="L29" s="113" t="str">
        <f>IF(OR(K29='Tabla Impacto'!$C$15,K29='Tabla Impacto'!$D$15),"Leve",IF(OR(K29='Tabla Impacto'!$C$16,K29='Tabla Impacto'!$D$16),"Menor",IF(OR(K29='Tabla Impacto'!$C$17,K29='Tabla Impacto'!$D$17),"Moderado",IF(OR(K29='Tabla Impacto'!$C$18,K29='Tabla Impacto'!$D$18),"Mayor",IF(OR(K29='Tabla Impacto'!$C$19,K29='Tabla Impacto'!$D$19),"Catastrófico","")))))</f>
        <v>Catastrófico</v>
      </c>
      <c r="M29" s="114">
        <f t="shared" si="6"/>
        <v>1</v>
      </c>
      <c r="N29" s="142" t="str">
        <f t="shared" si="7"/>
        <v>Extremo</v>
      </c>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row>
    <row r="30" spans="1:45" s="3" customFormat="1" ht="199.5" customHeight="1" x14ac:dyDescent="0.25">
      <c r="A30" s="144">
        <v>21</v>
      </c>
      <c r="B30" s="107" t="s">
        <v>123</v>
      </c>
      <c r="C30" s="107" t="s">
        <v>393</v>
      </c>
      <c r="D30" s="107" t="s">
        <v>394</v>
      </c>
      <c r="E30" s="108" t="s">
        <v>395</v>
      </c>
      <c r="F30" s="109" t="s">
        <v>115</v>
      </c>
      <c r="G30" s="392">
        <v>365</v>
      </c>
      <c r="H30" s="113" t="str">
        <f t="shared" si="4"/>
        <v>Media</v>
      </c>
      <c r="I30" s="114">
        <f t="shared" si="5"/>
        <v>0.6</v>
      </c>
      <c r="J30" s="110" t="s">
        <v>142</v>
      </c>
      <c r="K30" s="82" t="str">
        <f>IF(NOT(ISERROR(MATCH(J30,'Tabla Impacto'!$B$225:$B$227,0))),'Tabla Impacto'!$F$227&amp;"Por favor no seleccionar los criterios de impacto(Afectación Económica o presupuestal y Pérdida Reputacional)",J30)</f>
        <v xml:space="preserve">     El riesgo afecta la imagen de la entidad a nivel nacional, con efecto publicitarios sostenible a nivel país</v>
      </c>
      <c r="L30" s="113" t="str">
        <f>IF(OR(K30='Tabla Impacto'!$C$15,K30='Tabla Impacto'!$D$15),"Leve",IF(OR(K30='Tabla Impacto'!$C$16,K30='Tabla Impacto'!$D$16),"Menor",IF(OR(K30='Tabla Impacto'!$C$17,K30='Tabla Impacto'!$D$17),"Moderado",IF(OR(K30='Tabla Impacto'!$C$18,K30='Tabla Impacto'!$D$18),"Mayor",IF(OR(K30='Tabla Impacto'!$C$19,K30='Tabla Impacto'!$D$19),"Catastrófico","")))))</f>
        <v>Catastrófico</v>
      </c>
      <c r="M30" s="114">
        <f t="shared" si="6"/>
        <v>1</v>
      </c>
      <c r="N30" s="142" t="str">
        <f t="shared" si="7"/>
        <v>Extremo</v>
      </c>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row>
    <row r="31" spans="1:45" s="3" customFormat="1" ht="135" customHeight="1" x14ac:dyDescent="0.25">
      <c r="A31" s="144">
        <v>22</v>
      </c>
      <c r="B31" s="107" t="s">
        <v>122</v>
      </c>
      <c r="C31" s="107" t="s">
        <v>398</v>
      </c>
      <c r="D31" s="107" t="s">
        <v>399</v>
      </c>
      <c r="E31" s="108" t="s">
        <v>400</v>
      </c>
      <c r="F31" s="109" t="s">
        <v>115</v>
      </c>
      <c r="G31" s="392">
        <v>246</v>
      </c>
      <c r="H31" s="113" t="str">
        <f t="shared" si="4"/>
        <v>Media</v>
      </c>
      <c r="I31" s="114">
        <f t="shared" si="5"/>
        <v>0.6</v>
      </c>
      <c r="J31" s="110" t="s">
        <v>135</v>
      </c>
      <c r="K31" s="82" t="str">
        <f>IF(NOT(ISERROR(MATCH(J31,'Tabla Impacto'!$B$225:$B$227,0))),'Tabla Impacto'!$F$227&amp;"Por favor no seleccionar los criterios de impacto(Afectación Económica o presupuestal y Pérdida Reputacional)",J31)</f>
        <v xml:space="preserve">     Entre 10 y 50 SMLMV </v>
      </c>
      <c r="L31" s="113" t="str">
        <f>IF(OR(K31='Tabla Impacto'!$C$15,K31='Tabla Impacto'!$D$15),"Leve",IF(OR(K31='Tabla Impacto'!$C$16,K31='Tabla Impacto'!$D$16),"Menor",IF(OR(K31='Tabla Impacto'!$C$17,K31='Tabla Impacto'!$D$17),"Moderado",IF(OR(K31='Tabla Impacto'!$C$18,K31='Tabla Impacto'!$D$18),"Mayor",IF(OR(K31='Tabla Impacto'!$C$19,K31='Tabla Impacto'!$D$19),"Catastrófico","")))))</f>
        <v>Menor</v>
      </c>
      <c r="M31" s="114">
        <f t="shared" si="6"/>
        <v>0.4</v>
      </c>
      <c r="N31" s="142" t="str">
        <f t="shared" si="7"/>
        <v>Moderado</v>
      </c>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row>
    <row r="32" spans="1:45" s="3" customFormat="1" ht="129.75" customHeight="1" x14ac:dyDescent="0.25">
      <c r="A32" s="144">
        <v>23</v>
      </c>
      <c r="B32" s="107" t="s">
        <v>121</v>
      </c>
      <c r="C32" s="107" t="s">
        <v>406</v>
      </c>
      <c r="D32" s="107" t="s">
        <v>407</v>
      </c>
      <c r="E32" s="108" t="s">
        <v>412</v>
      </c>
      <c r="F32" s="109" t="s">
        <v>115</v>
      </c>
      <c r="G32" s="392">
        <v>50</v>
      </c>
      <c r="H32" s="113" t="str">
        <f t="shared" si="4"/>
        <v>Media</v>
      </c>
      <c r="I32" s="114">
        <f t="shared" si="5"/>
        <v>0.6</v>
      </c>
      <c r="J32" s="110" t="s">
        <v>138</v>
      </c>
      <c r="K32" s="82" t="str">
        <f>IF(NOT(ISERROR(MATCH(J32,'Tabla Impacto'!$B$225:$B$227,0))),'Tabla Impacto'!$F$227&amp;"Por favor no seleccionar los criterios de impacto(Afectación Económica o presupuestal y Pérdida Reputacional)",J32)</f>
        <v xml:space="preserve">     El riesgo afecta la imagen de alguna área de la organización</v>
      </c>
      <c r="L32" s="113" t="str">
        <f>IF(OR(K32='Tabla Impacto'!$C$15,K32='Tabla Impacto'!$D$15),"Leve",IF(OR(K32='Tabla Impacto'!$C$16,K32='Tabla Impacto'!$D$16),"Menor",IF(OR(K32='Tabla Impacto'!$C$17,K32='Tabla Impacto'!$D$17),"Moderado",IF(OR(K32='Tabla Impacto'!$C$18,K32='Tabla Impacto'!$D$18),"Mayor",IF(OR(K32='Tabla Impacto'!$C$19,K32='Tabla Impacto'!$D$19),"Catastrófico","")))))</f>
        <v>Leve</v>
      </c>
      <c r="M32" s="114">
        <f t="shared" si="6"/>
        <v>0.2</v>
      </c>
      <c r="N32" s="142" t="str">
        <f t="shared" si="7"/>
        <v>Moderado</v>
      </c>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row>
    <row r="33" spans="1:45" s="3" customFormat="1" ht="121.5" customHeight="1" x14ac:dyDescent="0.25">
      <c r="A33" s="144">
        <v>24</v>
      </c>
      <c r="B33" s="107" t="s">
        <v>123</v>
      </c>
      <c r="C33" s="107" t="s">
        <v>413</v>
      </c>
      <c r="D33" s="107" t="s">
        <v>414</v>
      </c>
      <c r="E33" s="108" t="s">
        <v>415</v>
      </c>
      <c r="F33" s="109" t="s">
        <v>115</v>
      </c>
      <c r="G33" s="392">
        <v>40</v>
      </c>
      <c r="H33" s="113" t="str">
        <f t="shared" si="4"/>
        <v>Media</v>
      </c>
      <c r="I33" s="114">
        <f t="shared" si="5"/>
        <v>0.6</v>
      </c>
      <c r="J33" s="110" t="s">
        <v>134</v>
      </c>
      <c r="K33" s="82" t="str">
        <f>IF(NOT(ISERROR(MATCH(J33,'Tabla Impacto'!$B$225:$B$227,0))),'Tabla Impacto'!$F$227&amp;"Por favor no seleccionar los criterios de impacto(Afectación Económica o presupuestal y Pérdida Reputacional)",J33)</f>
        <v xml:space="preserve">     Entre 50 y 100 SMLMV </v>
      </c>
      <c r="L33" s="113" t="str">
        <f>IF(OR(K33='Tabla Impacto'!$C$15,K33='Tabla Impacto'!$D$15),"Leve",IF(OR(K33='Tabla Impacto'!$C$16,K33='Tabla Impacto'!$D$16),"Menor",IF(OR(K33='Tabla Impacto'!$C$17,K33='Tabla Impacto'!$D$17),"Moderado",IF(OR(K33='Tabla Impacto'!$C$18,K33='Tabla Impacto'!$D$18),"Mayor",IF(OR(K33='Tabla Impacto'!$C$19,K33='Tabla Impacto'!$D$19),"Catastrófico","")))))</f>
        <v>Moderado</v>
      </c>
      <c r="M33" s="114">
        <f t="shared" si="6"/>
        <v>0.6</v>
      </c>
      <c r="N33" s="142" t="str">
        <f t="shared" si="7"/>
        <v>Moderado</v>
      </c>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row>
    <row r="34" spans="1:45" s="3" customFormat="1" ht="72.75" hidden="1" customHeight="1" x14ac:dyDescent="0.25">
      <c r="A34" s="144">
        <v>25</v>
      </c>
      <c r="B34" s="107"/>
      <c r="C34" s="107"/>
      <c r="D34" s="107"/>
      <c r="E34" s="109"/>
      <c r="F34" s="109"/>
      <c r="G34" s="141"/>
      <c r="H34" s="113" t="str">
        <f t="shared" si="4"/>
        <v/>
      </c>
      <c r="I34" s="114" t="str">
        <f t="shared" si="5"/>
        <v/>
      </c>
      <c r="J34" s="110"/>
      <c r="K34" s="82">
        <f>IF(NOT(ISERROR(MATCH(J34,'Tabla Impacto'!$B$225:$B$227,0))),'Tabla Impacto'!$F$227&amp;"Por favor no seleccionar los criterios de impacto(Afectación Económica o presupuestal y Pérdida Reputacional)",J34)</f>
        <v>0</v>
      </c>
      <c r="L34" s="113" t="str">
        <f>IF(OR(K34='Tabla Impacto'!$C$15,K34='Tabla Impacto'!$D$15),"Leve",IF(OR(K34='Tabla Impacto'!$C$16,K34='Tabla Impacto'!$D$16),"Menor",IF(OR(K34='Tabla Impacto'!$C$17,K34='Tabla Impacto'!$D$17),"Moderado",IF(OR(K34='Tabla Impacto'!$C$18,K34='Tabla Impacto'!$D$18),"Mayor",IF(OR(K34='Tabla Impacto'!$C$19,K34='Tabla Impacto'!$D$19),"Catastrófico","")))))</f>
        <v/>
      </c>
      <c r="M34" s="114" t="str">
        <f t="shared" si="6"/>
        <v/>
      </c>
      <c r="N34" s="142" t="str">
        <f t="shared" si="7"/>
        <v/>
      </c>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row>
    <row r="35" spans="1:45" s="3" customFormat="1" ht="72.75" hidden="1" customHeight="1" x14ac:dyDescent="0.25">
      <c r="A35" s="144">
        <v>26</v>
      </c>
      <c r="B35" s="107"/>
      <c r="C35" s="107"/>
      <c r="D35" s="107"/>
      <c r="E35" s="109"/>
      <c r="F35" s="109"/>
      <c r="G35" s="141"/>
      <c r="H35" s="113" t="str">
        <f t="shared" si="4"/>
        <v/>
      </c>
      <c r="I35" s="114" t="str">
        <f t="shared" si="5"/>
        <v/>
      </c>
      <c r="J35" s="110"/>
      <c r="K35" s="82">
        <f>IF(NOT(ISERROR(MATCH(J35,'Tabla Impacto'!$B$225:$B$227,0))),'Tabla Impacto'!$F$227&amp;"Por favor no seleccionar los criterios de impacto(Afectación Económica o presupuestal y Pérdida Reputacional)",J35)</f>
        <v>0</v>
      </c>
      <c r="L35" s="113" t="str">
        <f>IF(OR(K35='Tabla Impacto'!$C$15,K35='Tabla Impacto'!$D$15),"Leve",IF(OR(K35='Tabla Impacto'!$C$16,K35='Tabla Impacto'!$D$16),"Menor",IF(OR(K35='Tabla Impacto'!$C$17,K35='Tabla Impacto'!$D$17),"Moderado",IF(OR(K35='Tabla Impacto'!$C$18,K35='Tabla Impacto'!$D$18),"Mayor",IF(OR(K35='Tabla Impacto'!$C$19,K35='Tabla Impacto'!$D$19),"Catastrófico","")))))</f>
        <v/>
      </c>
      <c r="M35" s="114" t="str">
        <f t="shared" si="6"/>
        <v/>
      </c>
      <c r="N35" s="142" t="str">
        <f t="shared" si="7"/>
        <v/>
      </c>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row>
    <row r="36" spans="1:45" s="3" customFormat="1" ht="72.75" hidden="1" customHeight="1" x14ac:dyDescent="0.25">
      <c r="A36" s="144">
        <v>27</v>
      </c>
      <c r="B36" s="107"/>
      <c r="C36" s="107"/>
      <c r="D36" s="107"/>
      <c r="E36" s="109"/>
      <c r="F36" s="109"/>
      <c r="G36" s="141"/>
      <c r="H36" s="113" t="str">
        <f t="shared" si="4"/>
        <v/>
      </c>
      <c r="I36" s="114" t="str">
        <f t="shared" si="5"/>
        <v/>
      </c>
      <c r="J36" s="110"/>
      <c r="K36" s="82">
        <f>IF(NOT(ISERROR(MATCH(J36,'Tabla Impacto'!$B$225:$B$227,0))),'Tabla Impacto'!$F$227&amp;"Por favor no seleccionar los criterios de impacto(Afectación Económica o presupuestal y Pérdida Reputacional)",J36)</f>
        <v>0</v>
      </c>
      <c r="L36" s="113" t="str">
        <f>IF(OR(K36='Tabla Impacto'!$C$15,K36='Tabla Impacto'!$D$15),"Leve",IF(OR(K36='Tabla Impacto'!$C$16,K36='Tabla Impacto'!$D$16),"Menor",IF(OR(K36='Tabla Impacto'!$C$17,K36='Tabla Impacto'!$D$17),"Moderado",IF(OR(K36='Tabla Impacto'!$C$18,K36='Tabla Impacto'!$D$18),"Mayor",IF(OR(K36='Tabla Impacto'!$C$19,K36='Tabla Impacto'!$D$19),"Catastrófico","")))))</f>
        <v/>
      </c>
      <c r="M36" s="114" t="str">
        <f t="shared" si="6"/>
        <v/>
      </c>
      <c r="N36" s="142" t="str">
        <f t="shared" si="7"/>
        <v/>
      </c>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row>
    <row r="37" spans="1:45" s="3" customFormat="1" ht="72.75" hidden="1" customHeight="1" x14ac:dyDescent="0.25">
      <c r="A37" s="144">
        <v>28</v>
      </c>
      <c r="B37" s="107"/>
      <c r="C37" s="107"/>
      <c r="D37" s="107"/>
      <c r="E37" s="109"/>
      <c r="F37" s="109"/>
      <c r="G37" s="141"/>
      <c r="H37" s="113" t="str">
        <f t="shared" si="4"/>
        <v/>
      </c>
      <c r="I37" s="114" t="str">
        <f t="shared" si="5"/>
        <v/>
      </c>
      <c r="J37" s="110"/>
      <c r="K37" s="82">
        <f>IF(NOT(ISERROR(MATCH(J37,'Tabla Impacto'!$B$225:$B$227,0))),'Tabla Impacto'!$F$227&amp;"Por favor no seleccionar los criterios de impacto(Afectación Económica o presupuestal y Pérdida Reputacional)",J37)</f>
        <v>0</v>
      </c>
      <c r="L37" s="113" t="str">
        <f>IF(OR(K37='Tabla Impacto'!$C$15,K37='Tabla Impacto'!$D$15),"Leve",IF(OR(K37='Tabla Impacto'!$C$16,K37='Tabla Impacto'!$D$16),"Menor",IF(OR(K37='Tabla Impacto'!$C$17,K37='Tabla Impacto'!$D$17),"Moderado",IF(OR(K37='Tabla Impacto'!$C$18,K37='Tabla Impacto'!$D$18),"Mayor",IF(OR(K37='Tabla Impacto'!$C$19,K37='Tabla Impacto'!$D$19),"Catastrófico","")))))</f>
        <v/>
      </c>
      <c r="M37" s="114" t="str">
        <f t="shared" si="6"/>
        <v/>
      </c>
      <c r="N37" s="142" t="str">
        <f t="shared" si="7"/>
        <v/>
      </c>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row>
    <row r="38" spans="1:45" s="3" customFormat="1" ht="72" hidden="1" customHeight="1" thickBot="1" x14ac:dyDescent="0.3">
      <c r="A38" s="145">
        <v>29</v>
      </c>
      <c r="B38" s="107"/>
      <c r="C38" s="107"/>
      <c r="D38" s="107"/>
      <c r="E38" s="108"/>
      <c r="F38" s="109"/>
      <c r="G38" s="141"/>
      <c r="H38" s="113" t="str">
        <f t="shared" si="4"/>
        <v/>
      </c>
      <c r="I38" s="114" t="str">
        <f t="shared" si="5"/>
        <v/>
      </c>
      <c r="J38" s="110"/>
      <c r="K38" s="82">
        <f>IF(NOT(ISERROR(MATCH(J38,'Tabla Impacto'!$B$225:$B$227,0))),'Tabla Impacto'!$F$227&amp;"Por favor no seleccionar los criterios de impacto(Afectación Económica o presupuestal y Pérdida Reputacional)",J38)</f>
        <v>0</v>
      </c>
      <c r="L38" s="113" t="str">
        <f>IF(OR(K38='Tabla Impacto'!$C$15,K38='Tabla Impacto'!$D$15),"Leve",IF(OR(K38='Tabla Impacto'!$C$16,K38='Tabla Impacto'!$D$16),"Menor",IF(OR(K38='Tabla Impacto'!$C$17,K38='Tabla Impacto'!$D$17),"Moderado",IF(OR(K38='Tabla Impacto'!$C$18,K38='Tabla Impacto'!$D$18),"Mayor",IF(OR(K38='Tabla Impacto'!$C$19,K38='Tabla Impacto'!$D$19),"Catastrófico","")))))</f>
        <v/>
      </c>
      <c r="M38" s="114" t="str">
        <f t="shared" si="6"/>
        <v/>
      </c>
      <c r="N38" s="142" t="str">
        <f t="shared" si="7"/>
        <v/>
      </c>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row>
    <row r="39" spans="1:45" s="3" customFormat="1" ht="72" hidden="1" customHeight="1" x14ac:dyDescent="0.25">
      <c r="A39" s="124"/>
      <c r="B39" s="125"/>
      <c r="C39" s="125"/>
      <c r="D39" s="125"/>
      <c r="E39" s="126"/>
      <c r="F39" s="125"/>
      <c r="G39" s="127"/>
      <c r="H39" s="128"/>
      <c r="I39" s="129"/>
      <c r="J39" s="130"/>
      <c r="K39" s="131"/>
      <c r="L39" s="128"/>
      <c r="M39" s="129"/>
      <c r="N39" s="132"/>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row>
    <row r="40" spans="1:45" s="3" customFormat="1" ht="10.5" customHeight="1" x14ac:dyDescent="0.25">
      <c r="A40" s="225"/>
      <c r="B40" s="226"/>
      <c r="C40" s="226"/>
      <c r="D40" s="226"/>
      <c r="E40" s="226"/>
      <c r="F40" s="226"/>
      <c r="G40" s="226"/>
      <c r="H40" s="226"/>
      <c r="I40" s="226"/>
      <c r="J40" s="226"/>
      <c r="K40" s="226"/>
      <c r="L40" s="226"/>
      <c r="M40" s="226"/>
      <c r="N40" s="226"/>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row>
    <row r="41" spans="1:45" ht="49.5" customHeight="1" x14ac:dyDescent="0.3">
      <c r="A41" s="227" t="s">
        <v>203</v>
      </c>
      <c r="B41" s="228"/>
      <c r="C41" s="228"/>
      <c r="D41" s="228"/>
      <c r="E41" s="228"/>
      <c r="F41" s="228"/>
      <c r="G41" s="228"/>
      <c r="H41" s="228"/>
      <c r="I41" s="228"/>
      <c r="J41" s="228"/>
      <c r="K41" s="228"/>
      <c r="L41" s="228"/>
      <c r="M41" s="228"/>
      <c r="N41" s="229"/>
    </row>
    <row r="42" spans="1:45" x14ac:dyDescent="0.3">
      <c r="A42" s="83" t="s">
        <v>129</v>
      </c>
      <c r="B42" s="83"/>
      <c r="C42" s="83"/>
      <c r="D42" s="83"/>
      <c r="E42" s="83"/>
      <c r="F42" s="83"/>
      <c r="G42" s="83"/>
      <c r="H42" s="83"/>
      <c r="I42" s="83"/>
      <c r="J42" s="83"/>
      <c r="K42" s="83"/>
      <c r="L42" s="83"/>
      <c r="M42" s="83"/>
      <c r="N42" s="83"/>
    </row>
    <row r="43" spans="1:45" x14ac:dyDescent="0.3">
      <c r="A43" s="84"/>
      <c r="B43" s="84"/>
      <c r="C43" s="84"/>
      <c r="D43" s="84"/>
      <c r="E43" s="84"/>
      <c r="F43" s="84"/>
      <c r="G43" s="84"/>
      <c r="H43" s="84"/>
      <c r="I43" s="84"/>
      <c r="J43" s="84"/>
      <c r="K43" s="84"/>
      <c r="L43" s="84"/>
      <c r="M43" s="84"/>
      <c r="N43" s="84"/>
    </row>
  </sheetData>
  <sheetProtection formatCells="0" formatColumns="0" formatRows="0"/>
  <dataConsolidate/>
  <mergeCells count="31">
    <mergeCell ref="A40:N40"/>
    <mergeCell ref="A41:N41"/>
    <mergeCell ref="J8:J9"/>
    <mergeCell ref="K8:K9"/>
    <mergeCell ref="L8:L9"/>
    <mergeCell ref="M8:M9"/>
    <mergeCell ref="N8:N9"/>
    <mergeCell ref="A8:A9"/>
    <mergeCell ref="B8:B9"/>
    <mergeCell ref="C8:C9"/>
    <mergeCell ref="D8:D9"/>
    <mergeCell ref="E8:E9"/>
    <mergeCell ref="F8:F9"/>
    <mergeCell ref="G8:G9"/>
    <mergeCell ref="H8:H9"/>
    <mergeCell ref="I8:I9"/>
    <mergeCell ref="G7:N7"/>
    <mergeCell ref="C2:L2"/>
    <mergeCell ref="M1:N2"/>
    <mergeCell ref="C4:E4"/>
    <mergeCell ref="C5:E5"/>
    <mergeCell ref="L4:N5"/>
    <mergeCell ref="J4:K5"/>
    <mergeCell ref="A3:N3"/>
    <mergeCell ref="A1:B2"/>
    <mergeCell ref="C1:L1"/>
    <mergeCell ref="A5:B5"/>
    <mergeCell ref="A7:F7"/>
    <mergeCell ref="A4:B4"/>
    <mergeCell ref="G4:I5"/>
    <mergeCell ref="F4:F5"/>
  </mergeCells>
  <phoneticPr fontId="60" type="noConversion"/>
  <conditionalFormatting sqref="H10:H39">
    <cfRule type="cellIs" dxfId="58" priority="10" operator="equal">
      <formula>"Muy Alta"</formula>
    </cfRule>
    <cfRule type="cellIs" dxfId="57" priority="11" operator="equal">
      <formula>"Alta"</formula>
    </cfRule>
    <cfRule type="cellIs" dxfId="56" priority="12" operator="equal">
      <formula>"Media"</formula>
    </cfRule>
    <cfRule type="cellIs" dxfId="55" priority="13" operator="equal">
      <formula>"Baja"</formula>
    </cfRule>
    <cfRule type="cellIs" dxfId="54" priority="14" operator="equal">
      <formula>"Muy Baja"</formula>
    </cfRule>
  </conditionalFormatting>
  <conditionalFormatting sqref="K10:K39">
    <cfRule type="containsText" dxfId="53" priority="57" operator="containsText" text="❌">
      <formula>NOT(ISERROR(SEARCH("❌",K10)))</formula>
    </cfRule>
  </conditionalFormatting>
  <conditionalFormatting sqref="L10:L39">
    <cfRule type="cellIs" dxfId="52" priority="5" operator="equal">
      <formula>"Catastrófico"</formula>
    </cfRule>
    <cfRule type="cellIs" dxfId="51" priority="6" operator="equal">
      <formula>"Mayor"</formula>
    </cfRule>
    <cfRule type="cellIs" dxfId="50" priority="7" operator="equal">
      <formula>"Moderado"</formula>
    </cfRule>
    <cfRule type="cellIs" dxfId="49" priority="8" operator="equal">
      <formula>"Menor"</formula>
    </cfRule>
    <cfRule type="cellIs" dxfId="48" priority="9" operator="equal">
      <formula>"Leve"</formula>
    </cfRule>
  </conditionalFormatting>
  <conditionalFormatting sqref="N10:N39">
    <cfRule type="cellIs" dxfId="47" priority="1" operator="equal">
      <formula>"Extremo"</formula>
    </cfRule>
    <cfRule type="cellIs" dxfId="46" priority="2" operator="equal">
      <formula>"Alto"</formula>
    </cfRule>
    <cfRule type="cellIs" dxfId="45" priority="3" operator="equal">
      <formula>"Moderado"</formula>
    </cfRule>
    <cfRule type="cellIs" dxfId="44" priority="4" operator="equal">
      <formula>"Bajo"</formula>
    </cfRule>
  </conditionalFormatting>
  <pageMargins left="0.7" right="0.7" top="0.75" bottom="0.75" header="0.3" footer="0.3"/>
  <pageSetup scale="4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E476DCE-D382-4F47-8382-299870B0C5CE}">
          <x14:formula1>
            <xm:f>'Opciones Tratamiento'!$E$2:$E$4</xm:f>
          </x14:formula1>
          <xm:sqref>B19:B38</xm:sqref>
        </x14:dataValidation>
        <x14:dataValidation type="list" allowBlank="1" showInputMessage="1" showErrorMessage="1" xr:uid="{50B29026-DC3C-429A-AD91-1D3B970EE7FF}">
          <x14:formula1>
            <xm:f>'C:\Users\KarimMahuad\Desktop\Control Interno Karim\Gestión de Riesgos\documentos 2024\[Mapa de Riesgos G. Doc 2024.xlsx]Opciones Tratamiento'!#REF!</xm:f>
          </x14:formula1>
          <xm:sqref>B39 F39</xm:sqref>
        </x14:dataValidation>
        <x14:dataValidation type="list" allowBlank="1" showInputMessage="1" showErrorMessage="1" xr:uid="{CCE29624-A3CE-4569-949C-353E60BBE84B}">
          <x14:formula1>
            <xm:f>'C:\Users\KarimMahuad\Desktop\Control Interno Karim\Gestión de Riesgos\documentos 2024\[Mapa de Riesgos G. Doc 2024.xlsx]Tabla Impacto'!#REF!</xm:f>
          </x14:formula1>
          <xm:sqref>J39</xm:sqref>
        </x14:dataValidation>
        <x14:dataValidation type="list" allowBlank="1" showInputMessage="1" showErrorMessage="1" xr:uid="{0FE525A4-2648-47F0-9FE0-93DD4579D4A7}">
          <x14:formula1>
            <xm:f>'Tabla Impacto'!$F$214:$F$225</xm:f>
          </x14:formula1>
          <xm:sqref>J10:J38</xm:sqref>
        </x14:dataValidation>
        <x14:dataValidation type="list" allowBlank="1" showInputMessage="1" showErrorMessage="1" xr:uid="{421F8E29-666E-4CE9-9AA9-A8062A079508}">
          <x14:formula1>
            <xm:f>'Opciones Tratamiento'!$B$13:$B$19</xm:f>
          </x14:formula1>
          <xm:sqref>F10:F19 F21:F22 F34:F38</xm:sqref>
        </x14:dataValidation>
        <x14:dataValidation type="list" allowBlank="1" showInputMessage="1" showErrorMessage="1" xr:uid="{4AC30A65-BCEA-452A-A98B-D7C8024CEC51}">
          <x14:formula1>
            <xm:f>'C:\Users\KarimMahuad\Desktop\Control Interno Karim\Gestión de Riesgos\documentos 2024\[Mapa de Riesgos Gestión Financiera (18-04-2024).xlsx]Opciones Tratamiento'!#REF!</xm:f>
          </x14:formula1>
          <xm:sqref>F20</xm:sqref>
        </x14:dataValidation>
        <x14:dataValidation type="list" allowBlank="1" showInputMessage="1" showErrorMessage="1" xr:uid="{68003C4F-D617-48D7-AA39-C20773A35C0C}">
          <x14:formula1>
            <xm:f>'C:\Users\KarimMahuad\Desktop\Control Interno Karim\Gestión de Riesgos\documentos 2024\[Mapa de riesgos planeación 10_04_2024.xlsx]Opciones Tratamiento'!#REF!</xm:f>
          </x14:formula1>
          <xm:sqref>F23</xm:sqref>
        </x14:dataValidation>
        <x14:dataValidation type="list" allowBlank="1" showInputMessage="1" showErrorMessage="1" xr:uid="{5CB03ACE-BEA8-4DDF-83AA-DF874B87B6BB}">
          <x14:formula1>
            <xm:f>'C:\Users\KarimMahuad\Desktop\Control Interno Karim\Gestión de Riesgos\documentos 2024\[Mapa de riesgos seguimiento y control 08_04_2024.xlsx]Opciones Tratamiento'!#REF!</xm:f>
          </x14:formula1>
          <xm:sqref>F24</xm:sqref>
        </x14:dataValidation>
        <x14:dataValidation type="list" allowBlank="1" showInputMessage="1" showErrorMessage="1" xr:uid="{09FCEA98-5F48-4CD3-8532-968B168EB328}">
          <x14:formula1>
            <xm:f>'C:\Users\KarimMahuad\Desktop\Control Interno Karim\Gestión de Riesgos\documentos 2024\[MapadeRiesgos_Biblioteca 2024.xlsx]Opciones Tratamiento'!#REF!</xm:f>
          </x14:formula1>
          <xm:sqref>F25</xm:sqref>
        </x14:dataValidation>
        <x14:dataValidation type="list" allowBlank="1" showInputMessage="1" showErrorMessage="1" xr:uid="{DD72E78D-2FF7-4A7C-AF1B-9AE3CA590F89}">
          <x14:formula1>
            <xm:f>'C:\Users\KarimMahuad\Desktop\Control Interno Karim\Gestión de Riesgos\documentos 2024\[Mapaderiesgos_Bienestar 2024.xlsx]Opciones Tratamiento'!#REF!</xm:f>
          </x14:formula1>
          <xm:sqref>F26:F28</xm:sqref>
        </x14:dataValidation>
        <x14:dataValidation type="list" allowBlank="1" showInputMessage="1" showErrorMessage="1" xr:uid="{0E0BD764-F33F-4A1F-BDC2-7FE70C702C3A}">
          <x14:formula1>
            <xm:f>'C:\Users\KarimMahuad\Desktop\Control Interno Karim\Gestión de Riesgos\documentos 2024\[MapadeRiesgos_CONTRATACION-2024.xlsx]Opciones Tratamiento'!#REF!</xm:f>
          </x14:formula1>
          <xm:sqref>F29</xm:sqref>
        </x14:dataValidation>
        <x14:dataValidation type="list" allowBlank="1" showInputMessage="1" showErrorMessage="1" xr:uid="{367198B1-F88F-4180-96C8-6ED7A11C924F}">
          <x14:formula1>
            <xm:f>'C:\Users\KarimMahuad\Desktop\Control Interno Karim\Gestión de Riesgos\documentos 2024\[MapadeRiesgos_Desarrollo Tecnologico 2024.xlsx]Opciones Tratamiento'!#REF!</xm:f>
          </x14:formula1>
          <xm:sqref>F30</xm:sqref>
        </x14:dataValidation>
        <x14:dataValidation type="list" allowBlank="1" showInputMessage="1" showErrorMessage="1" xr:uid="{07BFB462-454C-4529-A5EB-2A1EEAE2E17D}">
          <x14:formula1>
            <xm:f>'C:\Users\KarimMahuad\Desktop\Control Interno Karim\Gestión de Riesgos\documentos 2024\[MapadeRiesgos_Infraestructura 2024.xlsx]Opciones Tratamiento'!#REF!</xm:f>
          </x14:formula1>
          <xm:sqref>F31</xm:sqref>
        </x14:dataValidation>
        <x14:dataValidation type="list" allowBlank="1" showInputMessage="1" showErrorMessage="1" xr:uid="{30000593-D235-4BF9-AD9E-1B0707550A9A}">
          <x14:formula1>
            <xm:f>'C:\Users\KarimMahuad\Desktop\Control Interno Karim\Gestión de Riesgos\documentos 2024\[MapadeRiesgos_Internacionalización 2024.xlsx]Opciones Tratamiento'!#REF!</xm:f>
          </x14:formula1>
          <xm:sqref>F32</xm:sqref>
        </x14:dataValidation>
        <x14:dataValidation type="list" allowBlank="1" showInputMessage="1" showErrorMessage="1" xr:uid="{F4FACCC6-EC35-462F-B16C-7B71F847EBA0}">
          <x14:formula1>
            <xm:f>'[MapadeRiesgos_Investigación 2024.xlsx]Opciones Tratamiento'!#REF!</xm:f>
          </x14:formula1>
          <xm:sqref>F33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2:CU133"/>
  <sheetViews>
    <sheetView showGridLines="0" topLeftCell="A4" zoomScale="40" zoomScaleNormal="40" workbookViewId="0">
      <selection activeCell="AF35" sqref="AF35:AG36"/>
    </sheetView>
  </sheetViews>
  <sheetFormatPr baseColWidth="10" defaultRowHeight="15" x14ac:dyDescent="0.25"/>
  <cols>
    <col min="2" max="39" width="5.7109375" customWidth="1"/>
    <col min="41" max="46" width="5.7109375" customWidth="1"/>
  </cols>
  <sheetData>
    <row r="2" spans="1:99" ht="85.5" customHeight="1" x14ac:dyDescent="0.25">
      <c r="B2" s="307"/>
      <c r="C2" s="307"/>
      <c r="D2" s="307"/>
      <c r="E2" s="307"/>
      <c r="F2" s="307"/>
      <c r="G2" s="307"/>
      <c r="H2" s="307"/>
      <c r="I2" s="307"/>
      <c r="J2" s="308" t="s">
        <v>191</v>
      </c>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10" t="s">
        <v>228</v>
      </c>
      <c r="AO2" s="311"/>
      <c r="AP2" s="311"/>
      <c r="AQ2" s="311"/>
      <c r="AR2" s="311"/>
      <c r="AS2" s="311"/>
      <c r="AT2" s="311"/>
    </row>
    <row r="3" spans="1:99" ht="103.5" customHeight="1" x14ac:dyDescent="0.25">
      <c r="B3" s="307"/>
      <c r="C3" s="307"/>
      <c r="D3" s="307"/>
      <c r="E3" s="307"/>
      <c r="F3" s="307"/>
      <c r="G3" s="307"/>
      <c r="H3" s="307"/>
      <c r="I3" s="307"/>
      <c r="J3" s="309" t="s">
        <v>192</v>
      </c>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11"/>
      <c r="AO3" s="311"/>
      <c r="AP3" s="311"/>
      <c r="AQ3" s="311"/>
      <c r="AR3" s="311"/>
      <c r="AS3" s="311"/>
      <c r="AT3" s="311"/>
    </row>
    <row r="5" spans="1:99" ht="18" customHeight="1" x14ac:dyDescent="0.25">
      <c r="A5" s="38"/>
      <c r="B5" s="255" t="s">
        <v>145</v>
      </c>
      <c r="C5" s="255"/>
      <c r="D5" s="255"/>
      <c r="E5" s="255"/>
      <c r="F5" s="255"/>
      <c r="G5" s="255"/>
      <c r="H5" s="255"/>
      <c r="I5" s="255"/>
      <c r="J5" s="351" t="s">
        <v>2</v>
      </c>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row>
    <row r="6" spans="1:99" ht="18.75" customHeight="1" x14ac:dyDescent="0.25">
      <c r="A6" s="38"/>
      <c r="B6" s="255"/>
      <c r="C6" s="255"/>
      <c r="D6" s="255"/>
      <c r="E6" s="255"/>
      <c r="F6" s="255"/>
      <c r="G6" s="255"/>
      <c r="H6" s="255"/>
      <c r="I6" s="255"/>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row>
    <row r="7" spans="1:99" ht="15" customHeight="1" x14ac:dyDescent="0.25">
      <c r="A7" s="38"/>
      <c r="B7" s="255"/>
      <c r="C7" s="255"/>
      <c r="D7" s="255"/>
      <c r="E7" s="255"/>
      <c r="F7" s="255"/>
      <c r="G7" s="255"/>
      <c r="H7" s="255"/>
      <c r="I7" s="255"/>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row>
    <row r="8" spans="1:99" ht="15.75" thickBot="1" x14ac:dyDescent="0.3">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row>
    <row r="9" spans="1:99" ht="15" customHeight="1" x14ac:dyDescent="0.25">
      <c r="A9" s="38"/>
      <c r="B9" s="312" t="s">
        <v>4</v>
      </c>
      <c r="C9" s="312"/>
      <c r="D9" s="313"/>
      <c r="E9" s="292" t="s">
        <v>106</v>
      </c>
      <c r="F9" s="294"/>
      <c r="G9" s="294"/>
      <c r="H9" s="294"/>
      <c r="I9" s="295"/>
      <c r="J9" s="253" t="str">
        <f>IF(AND('Mapa inherente'!$H$10="Muy Alta",'Mapa inherente'!$L$10="Leve"),CONCATENATE("R",'Mapa inherente'!$A$10),"")</f>
        <v/>
      </c>
      <c r="K9" s="253"/>
      <c r="L9" s="253" t="str">
        <f>IF(AND('Mapa inherente'!$H$11="Muy Alta",'Mapa inherente'!$L$11="Leve"),CONCATENATE("R",'Mapa inherente'!$A$11),"")</f>
        <v/>
      </c>
      <c r="M9" s="253"/>
      <c r="N9" s="253" t="str">
        <f>IF(AND('Mapa inherente'!$H$12="Muy Alta",'Mapa inherente'!$L$12="Leve"),CONCATENATE("R",'Mapa inherente'!$A$12),"")</f>
        <v/>
      </c>
      <c r="O9" s="305"/>
      <c r="P9" s="253" t="str">
        <f>IF(AND('Mapa inherente'!$H$10="Muy Alta",'Mapa inherente'!$L$10="Menor"),CONCATENATE("R",'Mapa inherente'!$A$10),"")</f>
        <v/>
      </c>
      <c r="Q9" s="253"/>
      <c r="R9" s="253" t="str">
        <f>IF(AND('Mapa inherente'!$H$11="Muy Alta",'Mapa inherente'!$L$11="Menor"),CONCATENATE("R",'Mapa inherente'!$A$11),"")</f>
        <v/>
      </c>
      <c r="S9" s="253"/>
      <c r="T9" s="253" t="str">
        <f>IF(AND('Mapa inherente'!$H$12="Muy Alta",'Mapa inherente'!$L$12="Menor"),CONCATENATE("R",'Mapa inherente'!$A$12),"")</f>
        <v/>
      </c>
      <c r="U9" s="305"/>
      <c r="V9" s="253" t="str">
        <f>IF(AND('Mapa inherente'!$H$10="Muy Alta",'Mapa inherente'!$L$10="Moderado"),CONCATENATE("R",'Mapa inherente'!$A$10),"")</f>
        <v/>
      </c>
      <c r="W9" s="253"/>
      <c r="X9" s="253" t="str">
        <f>IF(AND('Mapa inherente'!$H$11="Muy Alta",'Mapa inherente'!$L$11="Moderado"),CONCATENATE("R",'Mapa inherente'!$A$11),"")</f>
        <v/>
      </c>
      <c r="Y9" s="253"/>
      <c r="Z9" s="253" t="str">
        <f>IF(AND('Mapa inherente'!$H$12="Muy Alta",'Mapa inherente'!$L$12="Moderado"),CONCATENATE("R",'Mapa inherente'!$A$12),"")</f>
        <v/>
      </c>
      <c r="AA9" s="305"/>
      <c r="AB9" s="253" t="str">
        <f>IF(AND('Mapa inherente'!$H$10="Muy Alta",'Mapa inherente'!$L$10="Mayor"),CONCATENATE("R",'Mapa inherente'!$A$10),"")</f>
        <v/>
      </c>
      <c r="AC9" s="253"/>
      <c r="AD9" s="253" t="str">
        <f>IF(AND('Mapa inherente'!$H$11="Muy Alta",'Mapa inherente'!$L$11="Mayor"),CONCATENATE("R",'Mapa inherente'!$A$11),"")</f>
        <v/>
      </c>
      <c r="AE9" s="253"/>
      <c r="AF9" s="253" t="str">
        <f>IF(AND('Mapa inherente'!$H$12="Muy Alta",'Mapa inherente'!$L$12="Mayor"),CONCATENATE("R",'Mapa inherente'!$A$12),"")</f>
        <v/>
      </c>
      <c r="AG9" s="305"/>
      <c r="AH9" s="281" t="str">
        <f>IF(AND('Mapa inherente'!$H$10="Muy Alta",'Mapa inherente'!$L$10="Catastrófico"),CONCATENATE("R",'Mapa inherente'!$A$10),"")</f>
        <v/>
      </c>
      <c r="AI9" s="281"/>
      <c r="AJ9" s="281" t="str">
        <f>IF(AND('Mapa inherente'!$H$11="Muy Alta",'Mapa inherente'!$L$11="Catastrófico"),CONCATENATE("R",'Mapa inherente'!$A$11),"")</f>
        <v/>
      </c>
      <c r="AK9" s="281"/>
      <c r="AL9" s="281" t="str">
        <f>IF(AND('Mapa inherente'!$H$12="Muy Alta",'Mapa inherente'!$L$12="Catastrófico"),CONCATENATE("R",'Mapa inherente'!$A$12),"")</f>
        <v/>
      </c>
      <c r="AM9" s="282"/>
      <c r="AO9" s="314" t="s">
        <v>70</v>
      </c>
      <c r="AP9" s="315"/>
      <c r="AQ9" s="315"/>
      <c r="AR9" s="315"/>
      <c r="AS9" s="315"/>
      <c r="AT9" s="316"/>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row>
    <row r="10" spans="1:99" ht="15" customHeight="1" x14ac:dyDescent="0.25">
      <c r="A10" s="38"/>
      <c r="B10" s="312"/>
      <c r="C10" s="312"/>
      <c r="D10" s="313"/>
      <c r="E10" s="296"/>
      <c r="F10" s="297"/>
      <c r="G10" s="297"/>
      <c r="H10" s="297"/>
      <c r="I10" s="298"/>
      <c r="J10" s="254"/>
      <c r="K10" s="254"/>
      <c r="L10" s="254"/>
      <c r="M10" s="254"/>
      <c r="N10" s="254"/>
      <c r="O10" s="306"/>
      <c r="P10" s="254"/>
      <c r="Q10" s="254"/>
      <c r="R10" s="254"/>
      <c r="S10" s="254"/>
      <c r="T10" s="254"/>
      <c r="U10" s="306"/>
      <c r="V10" s="254"/>
      <c r="W10" s="254"/>
      <c r="X10" s="254"/>
      <c r="Y10" s="254"/>
      <c r="Z10" s="254"/>
      <c r="AA10" s="306"/>
      <c r="AB10" s="254"/>
      <c r="AC10" s="254"/>
      <c r="AD10" s="254"/>
      <c r="AE10" s="254"/>
      <c r="AF10" s="254"/>
      <c r="AG10" s="306"/>
      <c r="AH10" s="275"/>
      <c r="AI10" s="275"/>
      <c r="AJ10" s="275"/>
      <c r="AK10" s="275"/>
      <c r="AL10" s="275"/>
      <c r="AM10" s="278"/>
      <c r="AN10" s="38"/>
      <c r="AO10" s="317"/>
      <c r="AP10" s="318"/>
      <c r="AQ10" s="318"/>
      <c r="AR10" s="318"/>
      <c r="AS10" s="318"/>
      <c r="AT10" s="319"/>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row>
    <row r="11" spans="1:99" ht="15" customHeight="1" x14ac:dyDescent="0.25">
      <c r="A11" s="38"/>
      <c r="B11" s="312"/>
      <c r="C11" s="312"/>
      <c r="D11" s="313"/>
      <c r="E11" s="296"/>
      <c r="F11" s="297"/>
      <c r="G11" s="297"/>
      <c r="H11" s="297"/>
      <c r="I11" s="298"/>
      <c r="J11" s="302" t="str">
        <f>IF(AND('Mapa inherente'!$H$13="Muy Alta",'Mapa inherente'!$L$13="Leve"),CONCATENATE("R",'Mapa inherente'!$A$13),"")</f>
        <v/>
      </c>
      <c r="K11" s="254"/>
      <c r="L11" s="254" t="str">
        <f>IF(AND('Mapa inherente'!$H$14="Muy Alta",'Mapa inherente'!$L$14="Leve"),CONCATENATE("R",'Mapa inherente'!$A$14),"")</f>
        <v/>
      </c>
      <c r="M11" s="254"/>
      <c r="N11" s="254" t="str">
        <f>IF(AND('Mapa inherente'!$H$15="Muy Alta",'Mapa inherente'!$L$15="Leve"),CONCATENATE("R",'Mapa inherente'!$A$15),"")</f>
        <v/>
      </c>
      <c r="O11" s="306"/>
      <c r="P11" s="302" t="str">
        <f>IF(AND('Mapa inherente'!$H$13="Muy Alta",'Mapa inherente'!$L$13="Menor"),CONCATENATE("R",'Mapa inherente'!$A$13),"")</f>
        <v/>
      </c>
      <c r="Q11" s="254"/>
      <c r="R11" s="254" t="str">
        <f>IF(AND('Mapa inherente'!$H$14="Muy Alta",'Mapa inherente'!$L$14="Menor"),CONCATENATE("R",'Mapa inherente'!$A$14),"")</f>
        <v/>
      </c>
      <c r="S11" s="254"/>
      <c r="T11" s="254" t="str">
        <f>IF(AND('Mapa inherente'!$H$15="Muy Alta",'Mapa inherente'!$L$15="Menor"),CONCATENATE("R",'Mapa inherente'!$A$15),"")</f>
        <v/>
      </c>
      <c r="U11" s="306"/>
      <c r="V11" s="302" t="str">
        <f>IF(AND('Mapa inherente'!$H$13="Muy Alta",'Mapa inherente'!$L$13="Moderado"),CONCATENATE("R",'Mapa inherente'!$A$13),"")</f>
        <v/>
      </c>
      <c r="W11" s="254"/>
      <c r="X11" s="254" t="str">
        <f>IF(AND('Mapa inherente'!$H$14="Muy Alta",'Mapa inherente'!$L$14="Moderado"),CONCATENATE("R",'Mapa inherente'!$A$14),"")</f>
        <v/>
      </c>
      <c r="Y11" s="254"/>
      <c r="Z11" s="254" t="str">
        <f>IF(AND('Mapa inherente'!$H$15="Muy Alta",'Mapa inherente'!$L$15="Moderado"),CONCATENATE("R",'Mapa inherente'!$A$15),"")</f>
        <v/>
      </c>
      <c r="AA11" s="306"/>
      <c r="AB11" s="302" t="str">
        <f>IF(AND('Mapa inherente'!$H$13="Muy Alta",'Mapa inherente'!$L$13="Mayor"),CONCATENATE("R",'Mapa inherente'!$A$13),"")</f>
        <v/>
      </c>
      <c r="AC11" s="254"/>
      <c r="AD11" s="254" t="str">
        <f>IF(AND('Mapa inherente'!$H$14="Muy Alta",'Mapa inherente'!$L$14="Mayor"),CONCATENATE("R",'Mapa inherente'!$A$14),"")</f>
        <v/>
      </c>
      <c r="AE11" s="254"/>
      <c r="AF11" s="254" t="str">
        <f>IF(AND('Mapa inherente'!$H$15="Muy Alta",'Mapa inherente'!$L$15="Mayor"),CONCATENATE("R",'Mapa inherente'!$A$15),"")</f>
        <v/>
      </c>
      <c r="AG11" s="306"/>
      <c r="AH11" s="274" t="str">
        <f>IF(AND('Mapa inherente'!$H$13="Muy Alta",'Mapa inherente'!$L$13="Catastrófico"),CONCATENATE("R",'Mapa inherente'!$A$13),"")</f>
        <v/>
      </c>
      <c r="AI11" s="275"/>
      <c r="AJ11" s="275" t="str">
        <f>IF(AND('Mapa inherente'!$H$14="Muy Alta",'Mapa inherente'!$L$14="Catastrófico"),CONCATENATE("R",'Mapa inherente'!$A$14),"")</f>
        <v/>
      </c>
      <c r="AK11" s="275"/>
      <c r="AL11" s="275" t="str">
        <f>IF(AND('Mapa inherente'!$H$15="Muy Alta",'Mapa inherente'!$L$15="Catastrófico"),CONCATENATE("R",'Mapa inherente'!$A$15),"")</f>
        <v/>
      </c>
      <c r="AM11" s="278"/>
      <c r="AN11" s="38"/>
      <c r="AO11" s="317"/>
      <c r="AP11" s="318"/>
      <c r="AQ11" s="318"/>
      <c r="AR11" s="318"/>
      <c r="AS11" s="318"/>
      <c r="AT11" s="319"/>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row>
    <row r="12" spans="1:99" ht="15" customHeight="1" x14ac:dyDescent="0.25">
      <c r="A12" s="38"/>
      <c r="B12" s="312"/>
      <c r="C12" s="312"/>
      <c r="D12" s="313"/>
      <c r="E12" s="296"/>
      <c r="F12" s="297"/>
      <c r="G12" s="297"/>
      <c r="H12" s="297"/>
      <c r="I12" s="298"/>
      <c r="J12" s="302"/>
      <c r="K12" s="254"/>
      <c r="L12" s="254"/>
      <c r="M12" s="254"/>
      <c r="N12" s="254"/>
      <c r="O12" s="306"/>
      <c r="P12" s="302"/>
      <c r="Q12" s="254"/>
      <c r="R12" s="254"/>
      <c r="S12" s="254"/>
      <c r="T12" s="254"/>
      <c r="U12" s="306"/>
      <c r="V12" s="302"/>
      <c r="W12" s="254"/>
      <c r="X12" s="254"/>
      <c r="Y12" s="254"/>
      <c r="Z12" s="254"/>
      <c r="AA12" s="306"/>
      <c r="AB12" s="302"/>
      <c r="AC12" s="254"/>
      <c r="AD12" s="254"/>
      <c r="AE12" s="254"/>
      <c r="AF12" s="254"/>
      <c r="AG12" s="306"/>
      <c r="AH12" s="274"/>
      <c r="AI12" s="275"/>
      <c r="AJ12" s="275"/>
      <c r="AK12" s="275"/>
      <c r="AL12" s="275"/>
      <c r="AM12" s="278"/>
      <c r="AN12" s="38"/>
      <c r="AO12" s="317"/>
      <c r="AP12" s="318"/>
      <c r="AQ12" s="318"/>
      <c r="AR12" s="318"/>
      <c r="AS12" s="318"/>
      <c r="AT12" s="319"/>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row>
    <row r="13" spans="1:99" ht="15" customHeight="1" x14ac:dyDescent="0.25">
      <c r="A13" s="38"/>
      <c r="B13" s="312"/>
      <c r="C13" s="312"/>
      <c r="D13" s="313"/>
      <c r="E13" s="296"/>
      <c r="F13" s="297"/>
      <c r="G13" s="297"/>
      <c r="H13" s="297"/>
      <c r="I13" s="298"/>
      <c r="J13" s="302" t="str">
        <f>IF(AND('Mapa inherente'!$H$16="Muy Alta",'Mapa inherente'!$L$16="Leve"),CONCATENATE("R",'Mapa inherente'!$A$16),"")</f>
        <v/>
      </c>
      <c r="K13" s="254"/>
      <c r="L13" s="254" t="str">
        <f>IF(AND('Mapa inherente'!$H$17="Muy Alta",'Mapa inherente'!$L$17="Leve"),CONCATENATE("R",'Mapa inherente'!$A$17),"")</f>
        <v/>
      </c>
      <c r="M13" s="254"/>
      <c r="N13" s="254" t="str">
        <f>IF(AND('Mapa inherente'!$H$38="Muy Alta",'Mapa inherente'!$L$38="Leve"),CONCATENATE("R",'Mapa inherente'!$A$38),"")</f>
        <v/>
      </c>
      <c r="O13" s="306"/>
      <c r="P13" s="302" t="str">
        <f>IF(AND('Mapa inherente'!$H$16="Muy Alta",'Mapa inherente'!$L$16="Menor"),CONCATENATE("R",'Mapa inherente'!$A$16),"")</f>
        <v/>
      </c>
      <c r="Q13" s="254"/>
      <c r="R13" s="254" t="str">
        <f>IF(AND('Mapa inherente'!$H$17="Muy Alta",'Mapa inherente'!$L$17="Menor"),CONCATENATE("R",'Mapa inherente'!$A$17),"")</f>
        <v/>
      </c>
      <c r="S13" s="254"/>
      <c r="T13" s="254" t="str">
        <f>IF(AND('Mapa inherente'!$H$38="Muy Alta",'Mapa inherente'!$L$38="Menor"),CONCATENATE("R",'Mapa inherente'!$A$38),"")</f>
        <v/>
      </c>
      <c r="U13" s="306"/>
      <c r="V13" s="302" t="str">
        <f>IF(AND('Mapa inherente'!$H$16="Muy Alta",'Mapa inherente'!$L$16="Moderado"),CONCATENATE("R",'Mapa inherente'!$A$16),"")</f>
        <v/>
      </c>
      <c r="W13" s="254"/>
      <c r="X13" s="254" t="str">
        <f>IF(AND('Mapa inherente'!$H$17="Muy Alta",'Mapa inherente'!$L$17="Moderado"),CONCATENATE("R",'Mapa inherente'!$A$17),"")</f>
        <v/>
      </c>
      <c r="Y13" s="254"/>
      <c r="Z13" s="254" t="str">
        <f>IF(AND('Mapa inherente'!$H$38="Muy Alta",'Mapa inherente'!$L$38="Moderado"),CONCATENATE("R",'Mapa inherente'!$A$38),"")</f>
        <v/>
      </c>
      <c r="AA13" s="306"/>
      <c r="AB13" s="302" t="str">
        <f>IF(AND('Mapa inherente'!$H$16="Muy Alta",'Mapa inherente'!$L$16="Mayor"),CONCATENATE("R",'Mapa inherente'!$A$16),"")</f>
        <v/>
      </c>
      <c r="AC13" s="254"/>
      <c r="AD13" s="254" t="str">
        <f>IF(AND('Mapa inherente'!$H$17="Muy Alta",'Mapa inherente'!$L$17="Mayor"),CONCATENATE("R",'Mapa inherente'!$A$17),"")</f>
        <v/>
      </c>
      <c r="AE13" s="254"/>
      <c r="AF13" s="254" t="str">
        <f>IF(AND('Mapa inherente'!$H$38="Muy Alta",'Mapa inherente'!$L$38="Mayor"),CONCATENATE("R",'Mapa inherente'!$A$38),"")</f>
        <v/>
      </c>
      <c r="AG13" s="306"/>
      <c r="AH13" s="274" t="str">
        <f>IF(AND('Mapa inherente'!$H$16="Muy Alta",'Mapa inherente'!$L$16="Catastrófico"),CONCATENATE("R",'Mapa inherente'!$A$16),"")</f>
        <v/>
      </c>
      <c r="AI13" s="275"/>
      <c r="AJ13" s="275" t="str">
        <f>IF(AND('Mapa inherente'!$H$17="Muy Alta",'Mapa inherente'!$L$17="Catastrófico"),CONCATENATE("R",'Mapa inherente'!$A$17),"")</f>
        <v/>
      </c>
      <c r="AK13" s="275"/>
      <c r="AL13" s="275" t="str">
        <f>IF(AND('Mapa inherente'!$H$38="Muy Alta",'Mapa inherente'!$L$38="Catastrófico"),CONCATENATE("R",'Mapa inherente'!$A$38),"")</f>
        <v/>
      </c>
      <c r="AM13" s="278"/>
      <c r="AN13" s="38"/>
      <c r="AO13" s="317"/>
      <c r="AP13" s="318"/>
      <c r="AQ13" s="318"/>
      <c r="AR13" s="318"/>
      <c r="AS13" s="318"/>
      <c r="AT13" s="319"/>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row>
    <row r="14" spans="1:99" ht="15.75" customHeight="1" thickBot="1" x14ac:dyDescent="0.3">
      <c r="A14" s="38"/>
      <c r="B14" s="312"/>
      <c r="C14" s="312"/>
      <c r="D14" s="313"/>
      <c r="E14" s="296"/>
      <c r="F14" s="297"/>
      <c r="G14" s="297"/>
      <c r="H14" s="297"/>
      <c r="I14" s="298"/>
      <c r="J14" s="303"/>
      <c r="K14" s="304"/>
      <c r="L14" s="254"/>
      <c r="M14" s="254"/>
      <c r="N14" s="254"/>
      <c r="O14" s="306"/>
      <c r="P14" s="303"/>
      <c r="Q14" s="304"/>
      <c r="R14" s="254"/>
      <c r="S14" s="254"/>
      <c r="T14" s="254"/>
      <c r="U14" s="306"/>
      <c r="V14" s="303"/>
      <c r="W14" s="304"/>
      <c r="X14" s="254"/>
      <c r="Y14" s="254"/>
      <c r="Z14" s="254"/>
      <c r="AA14" s="306"/>
      <c r="AB14" s="303"/>
      <c r="AC14" s="304"/>
      <c r="AD14" s="254"/>
      <c r="AE14" s="254"/>
      <c r="AF14" s="254"/>
      <c r="AG14" s="306"/>
      <c r="AH14" s="276"/>
      <c r="AI14" s="277"/>
      <c r="AJ14" s="275"/>
      <c r="AK14" s="275"/>
      <c r="AL14" s="275"/>
      <c r="AM14" s="278"/>
      <c r="AN14" s="38"/>
      <c r="AO14" s="320"/>
      <c r="AP14" s="321"/>
      <c r="AQ14" s="321"/>
      <c r="AR14" s="321"/>
      <c r="AS14" s="321"/>
      <c r="AT14" s="322"/>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row>
    <row r="15" spans="1:99" ht="15" customHeight="1" x14ac:dyDescent="0.25">
      <c r="A15" s="38"/>
      <c r="B15" s="312"/>
      <c r="C15" s="312"/>
      <c r="D15" s="312"/>
      <c r="E15" s="292" t="s">
        <v>105</v>
      </c>
      <c r="F15" s="294"/>
      <c r="G15" s="294"/>
      <c r="H15" s="294"/>
      <c r="I15" s="295"/>
      <c r="J15" s="272" t="str">
        <f>IF(AND('Mapa inherente'!$H$10="Alta",'Mapa inherente'!$L$10="Leve"),CONCATENATE("R",'Mapa inherente'!$A$10),"")</f>
        <v/>
      </c>
      <c r="K15" s="272"/>
      <c r="L15" s="272" t="str">
        <f>IF(AND('Mapa inherente'!$H$11="Alta",'Mapa inherente'!$L$11="Leve"),CONCATENATE("R",'Mapa inherente'!$A$11),"")</f>
        <v/>
      </c>
      <c r="M15" s="272"/>
      <c r="N15" s="272" t="str">
        <f>IF(AND('Mapa inherente'!$H$12="Alta",'Mapa inherente'!$L$12="Leve"),CONCATENATE("R",'Mapa inherente'!$A$12),"")</f>
        <v/>
      </c>
      <c r="O15" s="273"/>
      <c r="P15" s="272" t="str">
        <f>IF(AND('Mapa inherente'!$H$10="Alta",'Mapa inherente'!$L$10="Menor"),CONCATENATE("R",'Mapa inherente'!$A$10),"")</f>
        <v/>
      </c>
      <c r="Q15" s="272"/>
      <c r="R15" s="272" t="str">
        <f>IF(AND('Mapa inherente'!$H$11="Alta",'Mapa inherente'!$L$11="Menor"),CONCATENATE("R",'Mapa inherente'!$A$11),"")</f>
        <v/>
      </c>
      <c r="S15" s="272"/>
      <c r="T15" s="272" t="str">
        <f>IF(AND('Mapa inherente'!$H$12="Alta",'Mapa inherente'!$L$12="Menor"),CONCATENATE("R",'Mapa inherente'!$A$12),"")</f>
        <v/>
      </c>
      <c r="U15" s="273"/>
      <c r="V15" s="290" t="str">
        <f>IF(AND('Mapa inherente'!$H$10="Alta",'Mapa inherente'!$L$10="Moderado"),CONCATENATE("R",'Mapa inherente'!$A$10),"")</f>
        <v/>
      </c>
      <c r="W15" s="290"/>
      <c r="X15" s="290" t="str">
        <f>IF(AND('Mapa inherente'!$H$11="Alta",'Mapa inherente'!$L$11="Moderado"),CONCATENATE("R",'Mapa inherente'!$A$11),"")</f>
        <v/>
      </c>
      <c r="Y15" s="290"/>
      <c r="Z15" s="290" t="str">
        <f>IF(AND('Mapa inherente'!$H$12="Alta",'Mapa inherente'!$L$12="Moderado"),CONCATENATE("R",'Mapa inherente'!$A$12),"")</f>
        <v/>
      </c>
      <c r="AA15" s="291"/>
      <c r="AB15" s="290" t="str">
        <f>IF(AND('Mapa inherente'!$H$10="Alta",'Mapa inherente'!$L$10="Mayor"),CONCATENATE("R",'Mapa inherente'!$A$10),"")</f>
        <v/>
      </c>
      <c r="AC15" s="290"/>
      <c r="AD15" s="290" t="str">
        <f>IF(AND('Mapa inherente'!$H$11="Alta",'Mapa inherente'!$L$11="Mayor"),CONCATENATE("R",'Mapa inherente'!$A$11),"")</f>
        <v/>
      </c>
      <c r="AE15" s="290"/>
      <c r="AF15" s="290" t="str">
        <f>IF(AND('Mapa inherente'!$H$12="Alta",'Mapa inherente'!$L$12="Mayor"),CONCATENATE("R",'Mapa inherente'!$A$12),"")</f>
        <v/>
      </c>
      <c r="AG15" s="291"/>
      <c r="AH15" s="281" t="str">
        <f>IF(AND('Mapa inherente'!$H$10="Alta",'Mapa inherente'!$L$10="Catastrófico"),CONCATENATE("R",'Mapa inherente'!$A$10),"")</f>
        <v/>
      </c>
      <c r="AI15" s="281"/>
      <c r="AJ15" s="281" t="str">
        <f>IF(AND('Mapa inherente'!$H$11="Alta",'Mapa inherente'!$L$11="Catastrófico"),CONCATENATE("R",'Mapa inherente'!$A$11),"")</f>
        <v/>
      </c>
      <c r="AK15" s="281"/>
      <c r="AL15" s="281" t="str">
        <f>IF(AND('Mapa inherente'!$H$12="Alta",'Mapa inherente'!$L$12="Catastrófico"),CONCATENATE("R",'Mapa inherente'!$A$12),"")</f>
        <v/>
      </c>
      <c r="AM15" s="282"/>
      <c r="AN15" s="38"/>
      <c r="AO15" s="323" t="s">
        <v>71</v>
      </c>
      <c r="AP15" s="324"/>
      <c r="AQ15" s="324"/>
      <c r="AR15" s="324"/>
      <c r="AS15" s="324"/>
      <c r="AT15" s="325"/>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row>
    <row r="16" spans="1:99" ht="15" customHeight="1" x14ac:dyDescent="0.25">
      <c r="A16" s="38"/>
      <c r="B16" s="312"/>
      <c r="C16" s="312"/>
      <c r="D16" s="312"/>
      <c r="E16" s="296"/>
      <c r="F16" s="297"/>
      <c r="G16" s="297"/>
      <c r="H16" s="297"/>
      <c r="I16" s="298"/>
      <c r="J16" s="266"/>
      <c r="K16" s="266"/>
      <c r="L16" s="266"/>
      <c r="M16" s="266"/>
      <c r="N16" s="266"/>
      <c r="O16" s="269"/>
      <c r="P16" s="266"/>
      <c r="Q16" s="266"/>
      <c r="R16" s="266"/>
      <c r="S16" s="266"/>
      <c r="T16" s="266"/>
      <c r="U16" s="269"/>
      <c r="V16" s="284"/>
      <c r="W16" s="284"/>
      <c r="X16" s="284"/>
      <c r="Y16" s="284"/>
      <c r="Z16" s="284"/>
      <c r="AA16" s="287"/>
      <c r="AB16" s="284"/>
      <c r="AC16" s="284"/>
      <c r="AD16" s="284"/>
      <c r="AE16" s="284"/>
      <c r="AF16" s="284"/>
      <c r="AG16" s="287"/>
      <c r="AH16" s="275"/>
      <c r="AI16" s="275"/>
      <c r="AJ16" s="275"/>
      <c r="AK16" s="275"/>
      <c r="AL16" s="275"/>
      <c r="AM16" s="278"/>
      <c r="AN16" s="38"/>
      <c r="AO16" s="326"/>
      <c r="AP16" s="327"/>
      <c r="AQ16" s="327"/>
      <c r="AR16" s="327"/>
      <c r="AS16" s="327"/>
      <c r="AT16" s="32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row>
    <row r="17" spans="1:80" ht="15" customHeight="1" x14ac:dyDescent="0.25">
      <c r="A17" s="38"/>
      <c r="B17" s="312"/>
      <c r="C17" s="312"/>
      <c r="D17" s="312"/>
      <c r="E17" s="296"/>
      <c r="F17" s="297"/>
      <c r="G17" s="297"/>
      <c r="H17" s="297"/>
      <c r="I17" s="298"/>
      <c r="J17" s="265" t="str">
        <f>IF(AND('Mapa inherente'!$H$13="Alta",'Mapa inherente'!$L$13="Leve"),CONCATENATE("R",'Mapa inherente'!$A$13),"")</f>
        <v/>
      </c>
      <c r="K17" s="266"/>
      <c r="L17" s="266" t="str">
        <f>IF(AND('Mapa inherente'!$H$14="Alta",'Mapa inherente'!$L$14="Leve"),CONCATENATE("R",'Mapa inherente'!$A$14),"")</f>
        <v/>
      </c>
      <c r="M17" s="266"/>
      <c r="N17" s="266" t="str">
        <f>IF(AND('Mapa inherente'!$H$15="Alta",'Mapa inherente'!$L$15="Leve"),CONCATENATE("R",'Mapa inherente'!$A$15),"")</f>
        <v/>
      </c>
      <c r="O17" s="269"/>
      <c r="P17" s="265" t="str">
        <f>IF(AND('Mapa inherente'!$H$13="Alta",'Mapa inherente'!$L$13="Menor"),CONCATENATE("R",'Mapa inherente'!$A$13),"")</f>
        <v/>
      </c>
      <c r="Q17" s="266"/>
      <c r="R17" s="266" t="str">
        <f>IF(AND('Mapa inherente'!$H$14="Alta",'Mapa inherente'!$L$14="Menor"),CONCATENATE("R",'Mapa inherente'!$A$14),"")</f>
        <v/>
      </c>
      <c r="S17" s="266"/>
      <c r="T17" s="266" t="str">
        <f>IF(AND('Mapa inherente'!$H$15="Alta",'Mapa inherente'!$L$15="Menor"),CONCATENATE("R",'Mapa inherente'!$A$15),"")</f>
        <v/>
      </c>
      <c r="U17" s="269"/>
      <c r="V17" s="283" t="str">
        <f>IF(AND('Mapa inherente'!$H$13="Alta",'Mapa inherente'!$L$13="Moderado"),CONCATENATE("R",'Mapa inherente'!$A$13),"")</f>
        <v/>
      </c>
      <c r="W17" s="284"/>
      <c r="X17" s="284" t="str">
        <f>IF(AND('Mapa inherente'!$H$14="Alta",'Mapa inherente'!$L$14="Moderado"),CONCATENATE("R",'Mapa inherente'!$A$14),"")</f>
        <v/>
      </c>
      <c r="Y17" s="284"/>
      <c r="Z17" s="284" t="str">
        <f>IF(AND('Mapa inherente'!$H$15="Alta",'Mapa inherente'!$L$15="Moderado"),CONCATENATE("R",'Mapa inherente'!$A$15),"")</f>
        <v/>
      </c>
      <c r="AA17" s="287"/>
      <c r="AB17" s="283" t="str">
        <f>IF(AND('Mapa inherente'!$H$13="Alta",'Mapa inherente'!$L$13="Mayor"),CONCATENATE("R",'Mapa inherente'!$A$13),"")</f>
        <v/>
      </c>
      <c r="AC17" s="284"/>
      <c r="AD17" s="284" t="str">
        <f>IF(AND('Mapa inherente'!$H$14="Alta",'Mapa inherente'!$L$14="Mayor"),CONCATENATE("R",'Mapa inherente'!$A$14),"")</f>
        <v/>
      </c>
      <c r="AE17" s="284"/>
      <c r="AF17" s="284" t="str">
        <f>IF(AND('Mapa inherente'!$H$15="Alta",'Mapa inherente'!$L$15="Mayor"),CONCATENATE("R",'Mapa inherente'!$A$15),"")</f>
        <v/>
      </c>
      <c r="AG17" s="287"/>
      <c r="AH17" s="274" t="str">
        <f>IF(AND('Mapa inherente'!$H$13="Alta",'Mapa inherente'!$L$13="Catastrófico"),CONCATENATE("R",'Mapa inherente'!$A$13),"")</f>
        <v/>
      </c>
      <c r="AI17" s="275"/>
      <c r="AJ17" s="275" t="str">
        <f>IF(AND('Mapa inherente'!$H$14="Alta",'Mapa inherente'!$L$14="Catastrófico"),CONCATENATE("R",'Mapa inherente'!$A$14),"")</f>
        <v/>
      </c>
      <c r="AK17" s="275"/>
      <c r="AL17" s="275" t="str">
        <f>IF(AND('Mapa inherente'!$H$15="Alta",'Mapa inherente'!$L$15="Catastrófico"),CONCATENATE("R",'Mapa inherente'!$A$15),"")</f>
        <v/>
      </c>
      <c r="AM17" s="278"/>
      <c r="AN17" s="38"/>
      <c r="AO17" s="326"/>
      <c r="AP17" s="327"/>
      <c r="AQ17" s="327"/>
      <c r="AR17" s="327"/>
      <c r="AS17" s="327"/>
      <c r="AT17" s="32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row>
    <row r="18" spans="1:80" ht="15" customHeight="1" x14ac:dyDescent="0.25">
      <c r="A18" s="38"/>
      <c r="B18" s="312"/>
      <c r="C18" s="312"/>
      <c r="D18" s="312"/>
      <c r="E18" s="296"/>
      <c r="F18" s="297"/>
      <c r="G18" s="297"/>
      <c r="H18" s="297"/>
      <c r="I18" s="298"/>
      <c r="J18" s="265"/>
      <c r="K18" s="266"/>
      <c r="L18" s="266"/>
      <c r="M18" s="266"/>
      <c r="N18" s="266"/>
      <c r="O18" s="269"/>
      <c r="P18" s="265"/>
      <c r="Q18" s="266"/>
      <c r="R18" s="266"/>
      <c r="S18" s="266"/>
      <c r="T18" s="266"/>
      <c r="U18" s="269"/>
      <c r="V18" s="283"/>
      <c r="W18" s="284"/>
      <c r="X18" s="284"/>
      <c r="Y18" s="284"/>
      <c r="Z18" s="284"/>
      <c r="AA18" s="287"/>
      <c r="AB18" s="283"/>
      <c r="AC18" s="284"/>
      <c r="AD18" s="284"/>
      <c r="AE18" s="284"/>
      <c r="AF18" s="284"/>
      <c r="AG18" s="287"/>
      <c r="AH18" s="274"/>
      <c r="AI18" s="275"/>
      <c r="AJ18" s="275"/>
      <c r="AK18" s="275"/>
      <c r="AL18" s="275"/>
      <c r="AM18" s="278"/>
      <c r="AN18" s="38"/>
      <c r="AO18" s="326"/>
      <c r="AP18" s="327"/>
      <c r="AQ18" s="327"/>
      <c r="AR18" s="327"/>
      <c r="AS18" s="327"/>
      <c r="AT18" s="32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row>
    <row r="19" spans="1:80" ht="15" customHeight="1" x14ac:dyDescent="0.25">
      <c r="A19" s="38"/>
      <c r="B19" s="312"/>
      <c r="C19" s="312"/>
      <c r="D19" s="312"/>
      <c r="E19" s="296"/>
      <c r="F19" s="297"/>
      <c r="G19" s="297"/>
      <c r="H19" s="297"/>
      <c r="I19" s="298"/>
      <c r="J19" s="265" t="str">
        <f>IF(AND('Mapa inherente'!$H$16="Alta",'Mapa inherente'!$L$16="Leve"),CONCATENATE("R",'Mapa inherente'!$A$16),"")</f>
        <v/>
      </c>
      <c r="K19" s="266"/>
      <c r="L19" s="266" t="str">
        <f>IF(AND('Mapa inherente'!$H$17="Alta",'Mapa inherente'!$L$17="Leve"),CONCATENATE("R",'Mapa inherente'!$A$17),"")</f>
        <v/>
      </c>
      <c r="M19" s="266"/>
      <c r="N19" s="266" t="str">
        <f>IF(AND('Mapa inherente'!$H$38="Alta",'Mapa inherente'!$L$38="Leve"),CONCATENATE("R",'Mapa inherente'!$A$38),"")</f>
        <v/>
      </c>
      <c r="O19" s="269"/>
      <c r="P19" s="265" t="str">
        <f>IF(AND('Mapa inherente'!$H$16="Alta",'Mapa inherente'!$L$16="Menor"),CONCATENATE("R",'Mapa inherente'!$A$16),"")</f>
        <v/>
      </c>
      <c r="Q19" s="266"/>
      <c r="R19" s="266" t="str">
        <f>IF(AND('Mapa inherente'!$H$17="Alta",'Mapa inherente'!$L$17="Menor"),CONCATENATE("R",'Mapa inherente'!$A$17),"")</f>
        <v/>
      </c>
      <c r="S19" s="266"/>
      <c r="T19" s="266" t="str">
        <f>IF(AND('Mapa inherente'!$H$38="Alta",'Mapa inherente'!$L$38="Menor"),CONCATENATE("R",'Mapa inherente'!$A$38),"")</f>
        <v/>
      </c>
      <c r="U19" s="269"/>
      <c r="V19" s="283" t="str">
        <f>IF(AND('Mapa inherente'!$H$16="Alta",'Mapa inherente'!$L$16="Moderado"),CONCATENATE("R",'Mapa inherente'!$A$16),"")</f>
        <v/>
      </c>
      <c r="W19" s="284"/>
      <c r="X19" s="284" t="str">
        <f>IF(AND('Mapa inherente'!$H$17="Alta",'Mapa inherente'!$L$17="Moderado"),CONCATENATE("R",'Mapa inherente'!$A$17),"")</f>
        <v/>
      </c>
      <c r="Y19" s="284"/>
      <c r="Z19" s="284" t="str">
        <f>IF(AND('Mapa inherente'!$H$38="Alta",'Mapa inherente'!$L$38="Moderado"),CONCATENATE("R",'Mapa inherente'!$A$38),"")</f>
        <v/>
      </c>
      <c r="AA19" s="287"/>
      <c r="AB19" s="283" t="str">
        <f>IF(AND('Mapa inherente'!$H$16="Alta",'Mapa inherente'!$L$16="Mayor"),CONCATENATE("R",'Mapa inherente'!$A$16),"")</f>
        <v/>
      </c>
      <c r="AC19" s="284"/>
      <c r="AD19" s="284" t="str">
        <f>IF(AND('Mapa inherente'!$H$17="Alta",'Mapa inherente'!$L$17="Mayor"),CONCATENATE("R",'Mapa inherente'!$A$17),"")</f>
        <v/>
      </c>
      <c r="AE19" s="284"/>
      <c r="AF19" s="284" t="str">
        <f>IF(AND('Mapa inherente'!$H$38="Alta",'Mapa inherente'!$L$38="Mayor"),CONCATENATE("R",'Mapa inherente'!$A$38),"")</f>
        <v/>
      </c>
      <c r="AG19" s="287"/>
      <c r="AH19" s="274" t="str">
        <f>IF(AND('Mapa inherente'!$H$16="Alta",'Mapa inherente'!$L$16="Catastrófico"),CONCATENATE("R",'Mapa inherente'!$A$16),"")</f>
        <v/>
      </c>
      <c r="AI19" s="275"/>
      <c r="AJ19" s="275" t="str">
        <f>IF(AND('Mapa inherente'!$H$17="Alta",'Mapa inherente'!$L$17="Catastrófico"),CONCATENATE("R",'Mapa inherente'!$A$17),"")</f>
        <v/>
      </c>
      <c r="AK19" s="275"/>
      <c r="AL19" s="275" t="str">
        <f>IF(AND('Mapa inherente'!$H$38="Alta",'Mapa inherente'!$L$38="Catastrófico"),CONCATENATE("R",'Mapa inherente'!$A$38),"")</f>
        <v/>
      </c>
      <c r="AM19" s="278"/>
      <c r="AN19" s="38"/>
      <c r="AO19" s="326"/>
      <c r="AP19" s="327"/>
      <c r="AQ19" s="327"/>
      <c r="AR19" s="327"/>
      <c r="AS19" s="327"/>
      <c r="AT19" s="32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row>
    <row r="20" spans="1:80" ht="15.75" customHeight="1" thickBot="1" x14ac:dyDescent="0.3">
      <c r="A20" s="38"/>
      <c r="B20" s="312"/>
      <c r="C20" s="312"/>
      <c r="D20" s="312"/>
      <c r="E20" s="299"/>
      <c r="F20" s="300"/>
      <c r="G20" s="300"/>
      <c r="H20" s="300"/>
      <c r="I20" s="301"/>
      <c r="J20" s="267"/>
      <c r="K20" s="268"/>
      <c r="L20" s="266"/>
      <c r="M20" s="266"/>
      <c r="N20" s="266"/>
      <c r="O20" s="269"/>
      <c r="P20" s="267"/>
      <c r="Q20" s="268"/>
      <c r="R20" s="266"/>
      <c r="S20" s="266"/>
      <c r="T20" s="266"/>
      <c r="U20" s="269"/>
      <c r="V20" s="285"/>
      <c r="W20" s="286"/>
      <c r="X20" s="284"/>
      <c r="Y20" s="284"/>
      <c r="Z20" s="284"/>
      <c r="AA20" s="287"/>
      <c r="AB20" s="285"/>
      <c r="AC20" s="286"/>
      <c r="AD20" s="284"/>
      <c r="AE20" s="284"/>
      <c r="AF20" s="284"/>
      <c r="AG20" s="287"/>
      <c r="AH20" s="276"/>
      <c r="AI20" s="277"/>
      <c r="AJ20" s="275"/>
      <c r="AK20" s="275"/>
      <c r="AL20" s="275"/>
      <c r="AM20" s="278"/>
      <c r="AN20" s="38"/>
      <c r="AO20" s="329"/>
      <c r="AP20" s="330"/>
      <c r="AQ20" s="330"/>
      <c r="AR20" s="330"/>
      <c r="AS20" s="330"/>
      <c r="AT20" s="331"/>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row>
    <row r="21" spans="1:80" ht="15" customHeight="1" x14ac:dyDescent="0.25">
      <c r="A21" s="38"/>
      <c r="B21" s="312"/>
      <c r="C21" s="312"/>
      <c r="D21" s="313"/>
      <c r="E21" s="350" t="s">
        <v>107</v>
      </c>
      <c r="F21" s="297"/>
      <c r="G21" s="297"/>
      <c r="H21" s="297"/>
      <c r="I21" s="298"/>
      <c r="J21" s="272" t="str">
        <f>IF(AND('Mapa inherente'!$H$10="Media",'Mapa inherente'!$L$10="Leve"),CONCATENATE("R",'Mapa inherente'!$A$10),"")</f>
        <v/>
      </c>
      <c r="K21" s="272"/>
      <c r="L21" s="272" t="str">
        <f>IF(AND('Mapa inherente'!$H$11="Media",'Mapa inherente'!$L$11="Leve"),CONCATENATE("R",'Mapa inherente'!$A$11),"")</f>
        <v/>
      </c>
      <c r="M21" s="272"/>
      <c r="N21" s="272" t="str">
        <f>IF(AND('Mapa inherente'!$H$12="Media",'Mapa inherente'!$L$12="Leve"),CONCATENATE("R",'Mapa inherente'!$A$12),"")</f>
        <v/>
      </c>
      <c r="O21" s="273"/>
      <c r="P21" s="272" t="str">
        <f>IF(AND('Mapa inherente'!$H$10="Media",'Mapa inherente'!$L$10="Menor"),CONCATENATE("R",'Mapa inherente'!$A$10),"")</f>
        <v/>
      </c>
      <c r="Q21" s="272"/>
      <c r="R21" s="272" t="str">
        <f>IF(AND('Mapa inherente'!$H$11="Media",'Mapa inherente'!$L$11="Menor"),CONCATENATE("R",'Mapa inherente'!$A$11),"")</f>
        <v/>
      </c>
      <c r="S21" s="272"/>
      <c r="T21" s="272" t="str">
        <f>IF(AND('Mapa inherente'!$H$12="Media",'Mapa inherente'!$L$12="Menor"),CONCATENATE("R",'Mapa inherente'!$A$12),"")</f>
        <v>R3</v>
      </c>
      <c r="U21" s="273"/>
      <c r="V21" s="272" t="str">
        <f>IF(AND('Mapa inherente'!$H$10="Media",'Mapa inherente'!$L$10="Moderado"),CONCATENATE("R",'Mapa inherente'!$A$10),"")</f>
        <v/>
      </c>
      <c r="W21" s="272"/>
      <c r="X21" s="272" t="str">
        <f>IF(AND('Mapa inherente'!$H$11="Media",'Mapa inherente'!$L$11="Moderado"),CONCATENATE("R",'Mapa inherente'!$A$11),"")</f>
        <v/>
      </c>
      <c r="Y21" s="272"/>
      <c r="Z21" s="272" t="str">
        <f>IF(AND('Mapa inherente'!$H$12="Media",'Mapa inherente'!$L$12="Moderado"),CONCATENATE("R",'Mapa inherente'!$A$12),"")</f>
        <v/>
      </c>
      <c r="AA21" s="273"/>
      <c r="AB21" s="290" t="str">
        <f>IF(AND('Mapa inherente'!$H$10="Media",'Mapa inherente'!$L$10="Mayor"),CONCATENATE("R",'Mapa inherente'!$A$10),"")</f>
        <v/>
      </c>
      <c r="AC21" s="290"/>
      <c r="AD21" s="290" t="str">
        <f>IF(AND('Mapa inherente'!$H$11="Media",'Mapa inherente'!$L$11="Mayor"),CONCATENATE("R",'Mapa inherente'!$A$11),"")</f>
        <v/>
      </c>
      <c r="AE21" s="290"/>
      <c r="AF21" s="290" t="str">
        <f>IF(AND('Mapa inherente'!$H$12="Media",'Mapa inherente'!$L$12="Mayor"),CONCATENATE("R",'Mapa inherente'!$A$12),"")</f>
        <v/>
      </c>
      <c r="AG21" s="291"/>
      <c r="AH21" s="281" t="str">
        <f>IF(AND('Mapa inherente'!$H$10="Media",'Mapa inherente'!$L$10="Catastrófico"),CONCATENATE("R",'Mapa inherente'!$A$10),"")</f>
        <v/>
      </c>
      <c r="AI21" s="281"/>
      <c r="AJ21" s="281" t="str">
        <f>IF(AND('Mapa inherente'!$H$11="Media",'Mapa inherente'!$L$11="Catastrófico"),CONCATENATE("R",'Mapa inherente'!$A$11),"")</f>
        <v/>
      </c>
      <c r="AK21" s="281"/>
      <c r="AL21" s="281" t="str">
        <f>IF(AND('Mapa inherente'!$H$12="Media",'Mapa inherente'!$L$12="Catastrófico"),CONCATENATE("R",'Mapa inherente'!$A$12),"")</f>
        <v/>
      </c>
      <c r="AM21" s="282"/>
      <c r="AN21" s="38"/>
      <c r="AO21" s="332" t="s">
        <v>72</v>
      </c>
      <c r="AP21" s="333"/>
      <c r="AQ21" s="333"/>
      <c r="AR21" s="333"/>
      <c r="AS21" s="333"/>
      <c r="AT21" s="334"/>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row>
    <row r="22" spans="1:80" ht="15" customHeight="1" x14ac:dyDescent="0.25">
      <c r="A22" s="38"/>
      <c r="B22" s="312"/>
      <c r="C22" s="312"/>
      <c r="D22" s="313"/>
      <c r="E22" s="296"/>
      <c r="F22" s="297"/>
      <c r="G22" s="297"/>
      <c r="H22" s="297"/>
      <c r="I22" s="298"/>
      <c r="J22" s="266"/>
      <c r="K22" s="266"/>
      <c r="L22" s="266"/>
      <c r="M22" s="266"/>
      <c r="N22" s="266"/>
      <c r="O22" s="269"/>
      <c r="P22" s="266"/>
      <c r="Q22" s="266"/>
      <c r="R22" s="266"/>
      <c r="S22" s="266"/>
      <c r="T22" s="266"/>
      <c r="U22" s="269"/>
      <c r="V22" s="266"/>
      <c r="W22" s="266"/>
      <c r="X22" s="266"/>
      <c r="Y22" s="266"/>
      <c r="Z22" s="266"/>
      <c r="AA22" s="269"/>
      <c r="AB22" s="284"/>
      <c r="AC22" s="284"/>
      <c r="AD22" s="284"/>
      <c r="AE22" s="284"/>
      <c r="AF22" s="284"/>
      <c r="AG22" s="287"/>
      <c r="AH22" s="275"/>
      <c r="AI22" s="275"/>
      <c r="AJ22" s="275"/>
      <c r="AK22" s="275"/>
      <c r="AL22" s="275"/>
      <c r="AM22" s="278"/>
      <c r="AN22" s="38"/>
      <c r="AO22" s="335"/>
      <c r="AP22" s="336"/>
      <c r="AQ22" s="336"/>
      <c r="AR22" s="336"/>
      <c r="AS22" s="336"/>
      <c r="AT22" s="337"/>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row>
    <row r="23" spans="1:80" ht="15" customHeight="1" x14ac:dyDescent="0.25">
      <c r="A23" s="38"/>
      <c r="B23" s="312"/>
      <c r="C23" s="312"/>
      <c r="D23" s="313"/>
      <c r="E23" s="296"/>
      <c r="F23" s="297"/>
      <c r="G23" s="297"/>
      <c r="H23" s="297"/>
      <c r="I23" s="298"/>
      <c r="J23" s="265" t="str">
        <f>IF(AND('Mapa inherente'!$H$13="Media",'Mapa inherente'!$L$13="Leve"),CONCATENATE("R",'Mapa inherente'!$A$13),"")</f>
        <v/>
      </c>
      <c r="K23" s="266"/>
      <c r="L23" s="266" t="str">
        <f>IF(AND('Mapa inherente'!$H$14="Media",'Mapa inherente'!$L$14="Leve"),CONCATENATE("R",'Mapa inherente'!$A$14),"")</f>
        <v>R5</v>
      </c>
      <c r="M23" s="266"/>
      <c r="N23" s="266" t="str">
        <f>IF(AND('Mapa inherente'!$H$15="Media",'Mapa inherente'!$L$15="Leve"),CONCATENATE("R",'Mapa inherente'!$A$15),"")</f>
        <v/>
      </c>
      <c r="O23" s="269"/>
      <c r="P23" s="265" t="str">
        <f>IF(AND('Mapa inherente'!$H$13="Media",'Mapa inherente'!$L$13="Menor"),CONCATENATE("R",'Mapa inherente'!$A$13),"")</f>
        <v/>
      </c>
      <c r="Q23" s="266"/>
      <c r="R23" s="266" t="str">
        <f>IF(AND('Mapa inherente'!$H$14="Media",'Mapa inherente'!$L$14="Menor"),CONCATENATE("R",'Mapa inherente'!$A$14),"")</f>
        <v/>
      </c>
      <c r="S23" s="266"/>
      <c r="T23" s="266" t="str">
        <f>IF(AND('Mapa inherente'!$H$15="Media",'Mapa inherente'!$L$15="Menor"),CONCATENATE("R",'Mapa inherente'!$A$15),"")</f>
        <v/>
      </c>
      <c r="U23" s="269"/>
      <c r="V23" s="265" t="str">
        <f>IF(AND('Mapa inherente'!$H$13="Media",'Mapa inherente'!$L$13="Moderado"),CONCATENATE("R",'Mapa inherente'!$A$13),"")</f>
        <v/>
      </c>
      <c r="W23" s="266"/>
      <c r="X23" s="266" t="str">
        <f>IF(AND('Mapa inherente'!$H$14="Media",'Mapa inherente'!$L$14="Moderado"),CONCATENATE("R",'Mapa inherente'!$A$14),"")</f>
        <v/>
      </c>
      <c r="Y23" s="266"/>
      <c r="Z23" s="266" t="str">
        <f>IF(AND('Mapa inherente'!$H$15="Media",'Mapa inherente'!$L$15="Moderado"),CONCATENATE("R",'Mapa inherente'!$A$15),"")</f>
        <v>R6</v>
      </c>
      <c r="AA23" s="269"/>
      <c r="AB23" s="283" t="str">
        <f>IF(AND('Mapa inherente'!$H$13="Media",'Mapa inherente'!$L$13="Mayor"),CONCATENATE("R",'Mapa inherente'!$A$13),"")</f>
        <v/>
      </c>
      <c r="AC23" s="284"/>
      <c r="AD23" s="284" t="str">
        <f>IF(AND('Mapa inherente'!$H$14="Media",'Mapa inherente'!$L$14="Mayor"),CONCATENATE("R",'Mapa inherente'!$A$14),"")</f>
        <v/>
      </c>
      <c r="AE23" s="284"/>
      <c r="AF23" s="284" t="str">
        <f>IF(AND('Mapa inherente'!$H$15="Media",'Mapa inherente'!$L$15="Mayor"),CONCATENATE("R",'Mapa inherente'!$A$15),"")</f>
        <v/>
      </c>
      <c r="AG23" s="287"/>
      <c r="AH23" s="274" t="str">
        <f>IF(AND('Mapa inherente'!$H$13="Media",'Mapa inherente'!$L$13="Catastrófico"),CONCATENATE("R",'Mapa inherente'!$A$13),"")</f>
        <v/>
      </c>
      <c r="AI23" s="275"/>
      <c r="AJ23" s="275" t="str">
        <f>IF(AND('Mapa inherente'!$H$14="Media",'Mapa inherente'!$L$14="Catastrófico"),CONCATENATE("R",'Mapa inherente'!$A$14),"")</f>
        <v/>
      </c>
      <c r="AK23" s="275"/>
      <c r="AL23" s="275" t="str">
        <f>IF(AND('Mapa inherente'!$H$15="Media",'Mapa inherente'!$L$15="Catastrófico"),CONCATENATE("R",'Mapa inherente'!$A$15),"")</f>
        <v/>
      </c>
      <c r="AM23" s="278"/>
      <c r="AN23" s="38"/>
      <c r="AO23" s="335"/>
      <c r="AP23" s="336"/>
      <c r="AQ23" s="336"/>
      <c r="AR23" s="336"/>
      <c r="AS23" s="336"/>
      <c r="AT23" s="337"/>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row>
    <row r="24" spans="1:80" ht="15" customHeight="1" x14ac:dyDescent="0.25">
      <c r="A24" s="38"/>
      <c r="B24" s="312"/>
      <c r="C24" s="312"/>
      <c r="D24" s="313"/>
      <c r="E24" s="296"/>
      <c r="F24" s="297"/>
      <c r="G24" s="297"/>
      <c r="H24" s="297"/>
      <c r="I24" s="298"/>
      <c r="J24" s="265"/>
      <c r="K24" s="266"/>
      <c r="L24" s="266"/>
      <c r="M24" s="266"/>
      <c r="N24" s="266"/>
      <c r="O24" s="269"/>
      <c r="P24" s="265"/>
      <c r="Q24" s="266"/>
      <c r="R24" s="266"/>
      <c r="S24" s="266"/>
      <c r="T24" s="266"/>
      <c r="U24" s="269"/>
      <c r="V24" s="265"/>
      <c r="W24" s="266"/>
      <c r="X24" s="266"/>
      <c r="Y24" s="266"/>
      <c r="Z24" s="266"/>
      <c r="AA24" s="269"/>
      <c r="AB24" s="283"/>
      <c r="AC24" s="284"/>
      <c r="AD24" s="284"/>
      <c r="AE24" s="284"/>
      <c r="AF24" s="284"/>
      <c r="AG24" s="287"/>
      <c r="AH24" s="274"/>
      <c r="AI24" s="275"/>
      <c r="AJ24" s="275"/>
      <c r="AK24" s="275"/>
      <c r="AL24" s="275"/>
      <c r="AM24" s="278"/>
      <c r="AN24" s="38"/>
      <c r="AO24" s="335"/>
      <c r="AP24" s="336"/>
      <c r="AQ24" s="336"/>
      <c r="AR24" s="336"/>
      <c r="AS24" s="336"/>
      <c r="AT24" s="337"/>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row>
    <row r="25" spans="1:80" ht="15" customHeight="1" x14ac:dyDescent="0.25">
      <c r="A25" s="38"/>
      <c r="B25" s="312"/>
      <c r="C25" s="312"/>
      <c r="D25" s="313"/>
      <c r="E25" s="296"/>
      <c r="F25" s="297"/>
      <c r="G25" s="297"/>
      <c r="H25" s="297"/>
      <c r="I25" s="298"/>
      <c r="J25" s="265" t="str">
        <f>IF(AND('Mapa inherente'!$H$16="Media",'Mapa inherente'!$L$16="Leve"),CONCATENATE("R",'Mapa inherente'!$A$16),"")</f>
        <v/>
      </c>
      <c r="K25" s="266"/>
      <c r="L25" s="266" t="str">
        <f>IF(AND('Mapa inherente'!$H$17="Media",'Mapa inherente'!$L$17="Leve"),CONCATENATE("R",'Mapa inherente'!$A$17),"")</f>
        <v/>
      </c>
      <c r="M25" s="266"/>
      <c r="N25" s="266" t="str">
        <f>IF(AND('Mapa inherente'!$H$38="Media",'Mapa inherente'!$L$38="Leve"),CONCATENATE("R",'Mapa inherente'!$A$38),"")</f>
        <v/>
      </c>
      <c r="O25" s="269"/>
      <c r="P25" s="265" t="str">
        <f>IF(AND('Mapa inherente'!$H$16="Media",'Mapa inherente'!$L$16="Menor"),CONCATENATE("R",'Mapa inherente'!$A$16),"")</f>
        <v/>
      </c>
      <c r="Q25" s="266"/>
      <c r="R25" s="266" t="str">
        <f>IF(AND('Mapa inherente'!$H$17="Media",'Mapa inherente'!$L$17="Menor"),CONCATENATE("R",'Mapa inherente'!$A$17),"")</f>
        <v/>
      </c>
      <c r="S25" s="266"/>
      <c r="T25" s="266" t="str">
        <f>IF(AND('Mapa inherente'!$H$38="Media",'Mapa inherente'!$L$38="Menor"),CONCATENATE("R",'Mapa inherente'!$A$38),"")</f>
        <v/>
      </c>
      <c r="U25" s="269"/>
      <c r="V25" s="265" t="str">
        <f>IF(AND('Mapa inherente'!$H$16="Media",'Mapa inherente'!$L$16="Moderado"),CONCATENATE("R",'Mapa inherente'!$A$16),"")</f>
        <v/>
      </c>
      <c r="W25" s="266"/>
      <c r="X25" s="266" t="str">
        <f>IF(AND('Mapa inherente'!$H$17="Media",'Mapa inherente'!$L$17="Moderado"),CONCATENATE("R",'Mapa inherente'!$A$17),"")</f>
        <v/>
      </c>
      <c r="Y25" s="266"/>
      <c r="Z25" s="266" t="str">
        <f>IF(AND('Mapa inherente'!$H$38="Media",'Mapa inherente'!$L$38="Moderado"),CONCATENATE("R",'Mapa inherente'!$A$38),"")</f>
        <v/>
      </c>
      <c r="AA25" s="269"/>
      <c r="AB25" s="283" t="str">
        <f>IF(AND('Mapa inherente'!$H$16="Media",'Mapa inherente'!$L$16="Mayor"),CONCATENATE("R",'Mapa inherente'!$A$16),"")</f>
        <v/>
      </c>
      <c r="AC25" s="284"/>
      <c r="AD25" s="284" t="str">
        <f>IF(AND('Mapa inherente'!$H$17="Media",'Mapa inherente'!$L$17="Mayor"),CONCATENATE("R",'Mapa inherente'!$A$17),"")</f>
        <v/>
      </c>
      <c r="AE25" s="284"/>
      <c r="AF25" s="284" t="str">
        <f>IF(AND('Mapa inherente'!$H$38="Media",'Mapa inherente'!$L$38="Mayor"),CONCATENATE("R",'Mapa inherente'!$A$38),"")</f>
        <v/>
      </c>
      <c r="AG25" s="287"/>
      <c r="AH25" s="274" t="str">
        <f>IF(AND('Mapa inherente'!$H$16="Media",'Mapa inherente'!$L$16="Catastrófico"),CONCATENATE("R",'Mapa inherente'!$A$16),"")</f>
        <v/>
      </c>
      <c r="AI25" s="275"/>
      <c r="AJ25" s="275" t="str">
        <f>IF(AND('Mapa inherente'!$H$17="Media",'Mapa inherente'!$L$17="Catastrófico"),CONCATENATE("R",'Mapa inherente'!$A$17),"")</f>
        <v/>
      </c>
      <c r="AK25" s="275"/>
      <c r="AL25" s="275" t="str">
        <f>IF(AND('Mapa inherente'!$H$38="Media",'Mapa inherente'!$L$38="Catastrófico"),CONCATENATE("R",'Mapa inherente'!$A$38),"")</f>
        <v/>
      </c>
      <c r="AM25" s="278"/>
      <c r="AN25" s="38"/>
      <c r="AO25" s="335"/>
      <c r="AP25" s="336"/>
      <c r="AQ25" s="336"/>
      <c r="AR25" s="336"/>
      <c r="AS25" s="336"/>
      <c r="AT25" s="337"/>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row>
    <row r="26" spans="1:80" ht="15.75" customHeight="1" thickBot="1" x14ac:dyDescent="0.3">
      <c r="A26" s="38"/>
      <c r="B26" s="312"/>
      <c r="C26" s="312"/>
      <c r="D26" s="313"/>
      <c r="E26" s="299"/>
      <c r="F26" s="300"/>
      <c r="G26" s="300"/>
      <c r="H26" s="300"/>
      <c r="I26" s="301"/>
      <c r="J26" s="267"/>
      <c r="K26" s="268"/>
      <c r="L26" s="266"/>
      <c r="M26" s="266"/>
      <c r="N26" s="266"/>
      <c r="O26" s="269"/>
      <c r="P26" s="267"/>
      <c r="Q26" s="268"/>
      <c r="R26" s="266"/>
      <c r="S26" s="266"/>
      <c r="T26" s="266"/>
      <c r="U26" s="269"/>
      <c r="V26" s="267"/>
      <c r="W26" s="268"/>
      <c r="X26" s="266"/>
      <c r="Y26" s="266"/>
      <c r="Z26" s="266"/>
      <c r="AA26" s="269"/>
      <c r="AB26" s="285"/>
      <c r="AC26" s="286"/>
      <c r="AD26" s="284"/>
      <c r="AE26" s="284"/>
      <c r="AF26" s="284"/>
      <c r="AG26" s="287"/>
      <c r="AH26" s="276"/>
      <c r="AI26" s="277"/>
      <c r="AJ26" s="275"/>
      <c r="AK26" s="275"/>
      <c r="AL26" s="275"/>
      <c r="AM26" s="278"/>
      <c r="AN26" s="38"/>
      <c r="AO26" s="338"/>
      <c r="AP26" s="339"/>
      <c r="AQ26" s="339"/>
      <c r="AR26" s="339"/>
      <c r="AS26" s="339"/>
      <c r="AT26" s="340"/>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row>
    <row r="27" spans="1:80" ht="15" customHeight="1" x14ac:dyDescent="0.25">
      <c r="A27" s="38"/>
      <c r="B27" s="312"/>
      <c r="C27" s="312"/>
      <c r="D27" s="313"/>
      <c r="E27" s="292" t="s">
        <v>104</v>
      </c>
      <c r="F27" s="294"/>
      <c r="G27" s="294"/>
      <c r="H27" s="294"/>
      <c r="I27" s="294"/>
      <c r="J27" s="262" t="str">
        <f>IF(AND('Mapa inherente'!$H$10="Baja",'Mapa inherente'!$L$10="Leve"),CONCATENATE("R",'Mapa inherente'!$A$10),"")</f>
        <v/>
      </c>
      <c r="K27" s="263"/>
      <c r="L27" s="263" t="str">
        <f>IF(AND('Mapa inherente'!$H$11="Baja",'Mapa inherente'!$L$11="Leve"),CONCATENATE("R",'Mapa inherente'!$A$11),"")</f>
        <v/>
      </c>
      <c r="M27" s="263"/>
      <c r="N27" s="263" t="str">
        <f>IF(AND('Mapa inherente'!$H$12="Baja",'Mapa inherente'!$L$12="Leve"),CONCATENATE("R",'Mapa inherente'!$A$12),"")</f>
        <v/>
      </c>
      <c r="O27" s="264"/>
      <c r="P27" s="271" t="str">
        <f>IF(AND('Mapa inherente'!$H$10="Baja",'Mapa inherente'!$L$10="Menor"),CONCATENATE("R",'Mapa inherente'!$A$10),"")</f>
        <v>R1</v>
      </c>
      <c r="Q27" s="272"/>
      <c r="R27" s="272" t="str">
        <f>IF(AND('Mapa inherente'!$H$11="Baja",'Mapa inherente'!$L$11="Menor"),CONCATENATE("R",'Mapa inherente'!$A$11),"")</f>
        <v/>
      </c>
      <c r="S27" s="272"/>
      <c r="T27" s="272" t="str">
        <f>IF(AND('Mapa inherente'!$H$12="Baja",'Mapa inherente'!$L$12="Menor"),CONCATENATE("R",'Mapa inherente'!$A$12),"")</f>
        <v/>
      </c>
      <c r="U27" s="273"/>
      <c r="V27" s="271" t="str">
        <f>IF(AND('Mapa inherente'!$H$10="Baja",'Mapa inherente'!$L$10="Moderado"),CONCATENATE("R",'Mapa inherente'!$A$10),"")</f>
        <v/>
      </c>
      <c r="W27" s="272"/>
      <c r="X27" s="272" t="str">
        <f>IF(AND('Mapa inherente'!$H$11="Baja",'Mapa inherente'!$L$11="Moderado"),CONCATENATE("R",'Mapa inherente'!$A$11),"")</f>
        <v>R2</v>
      </c>
      <c r="Y27" s="272"/>
      <c r="Z27" s="272" t="str">
        <f>IF(AND('Mapa inherente'!$H$12="Baja",'Mapa inherente'!$L$12="Moderado"),CONCATENATE("R",'Mapa inherente'!$A$12),"")</f>
        <v/>
      </c>
      <c r="AA27" s="273"/>
      <c r="AB27" s="289" t="str">
        <f>IF(AND('Mapa inherente'!$H$10="Baja",'Mapa inherente'!$L$10="Mayor"),CONCATENATE("R",'Mapa inherente'!$A$10),"")</f>
        <v/>
      </c>
      <c r="AC27" s="290"/>
      <c r="AD27" s="290" t="str">
        <f>IF(AND('Mapa inherente'!$H$11="Baja",'Mapa inherente'!$L$11="Mayor"),CONCATENATE("R",'Mapa inherente'!$A$11),"")</f>
        <v/>
      </c>
      <c r="AE27" s="290"/>
      <c r="AF27" s="290" t="str">
        <f>IF(AND('Mapa inherente'!$H$12="Baja",'Mapa inherente'!$L$12="Mayor"),CONCATENATE("R",'Mapa inherente'!$A$12),"")</f>
        <v/>
      </c>
      <c r="AG27" s="291"/>
      <c r="AH27" s="280" t="str">
        <f>IF(AND('Mapa inherente'!$H$10="Baja",'Mapa inherente'!$L$10="Catastrófico"),CONCATENATE("R",'Mapa inherente'!$A$10),"")</f>
        <v/>
      </c>
      <c r="AI27" s="281"/>
      <c r="AJ27" s="281" t="str">
        <f>IF(AND('Mapa inherente'!$H$11="Baja",'Mapa inherente'!$L$11="Catastrófico"),CONCATENATE("R",'Mapa inherente'!$A$11),"")</f>
        <v/>
      </c>
      <c r="AK27" s="281"/>
      <c r="AL27" s="281" t="str">
        <f>IF(AND('Mapa inherente'!$H$12="Baja",'Mapa inherente'!$L$12="Catastrófico"),CONCATENATE("R",'Mapa inherente'!$A$12),"")</f>
        <v/>
      </c>
      <c r="AM27" s="282"/>
      <c r="AN27" s="38"/>
      <c r="AO27" s="341" t="s">
        <v>73</v>
      </c>
      <c r="AP27" s="342"/>
      <c r="AQ27" s="342"/>
      <c r="AR27" s="342"/>
      <c r="AS27" s="342"/>
      <c r="AT27" s="343"/>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row>
    <row r="28" spans="1:80" ht="15" customHeight="1" x14ac:dyDescent="0.25">
      <c r="A28" s="38"/>
      <c r="B28" s="312"/>
      <c r="C28" s="312"/>
      <c r="D28" s="313"/>
      <c r="E28" s="296"/>
      <c r="F28" s="297"/>
      <c r="G28" s="297"/>
      <c r="H28" s="297"/>
      <c r="I28" s="297"/>
      <c r="J28" s="256"/>
      <c r="K28" s="257"/>
      <c r="L28" s="257"/>
      <c r="M28" s="257"/>
      <c r="N28" s="257"/>
      <c r="O28" s="260"/>
      <c r="P28" s="265"/>
      <c r="Q28" s="266"/>
      <c r="R28" s="266"/>
      <c r="S28" s="266"/>
      <c r="T28" s="266"/>
      <c r="U28" s="269"/>
      <c r="V28" s="265"/>
      <c r="W28" s="266"/>
      <c r="X28" s="266"/>
      <c r="Y28" s="266"/>
      <c r="Z28" s="266"/>
      <c r="AA28" s="269"/>
      <c r="AB28" s="283"/>
      <c r="AC28" s="284"/>
      <c r="AD28" s="284"/>
      <c r="AE28" s="284"/>
      <c r="AF28" s="284"/>
      <c r="AG28" s="287"/>
      <c r="AH28" s="274"/>
      <c r="AI28" s="275"/>
      <c r="AJ28" s="275"/>
      <c r="AK28" s="275"/>
      <c r="AL28" s="275"/>
      <c r="AM28" s="278"/>
      <c r="AN28" s="38"/>
      <c r="AO28" s="344"/>
      <c r="AP28" s="345"/>
      <c r="AQ28" s="345"/>
      <c r="AR28" s="345"/>
      <c r="AS28" s="345"/>
      <c r="AT28" s="346"/>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row>
    <row r="29" spans="1:80" ht="15" customHeight="1" x14ac:dyDescent="0.25">
      <c r="A29" s="38"/>
      <c r="B29" s="312"/>
      <c r="C29" s="312"/>
      <c r="D29" s="313"/>
      <c r="E29" s="296"/>
      <c r="F29" s="297"/>
      <c r="G29" s="297"/>
      <c r="H29" s="297"/>
      <c r="I29" s="297"/>
      <c r="J29" s="256" t="str">
        <f>IF(AND('Mapa inherente'!$H$13="Baja",'Mapa inherente'!$L$13="Leve"),CONCATENATE("R",'Mapa inherente'!$A$13),"")</f>
        <v/>
      </c>
      <c r="K29" s="257"/>
      <c r="L29" s="257" t="str">
        <f>IF(AND('Mapa inherente'!$H$14="Baja",'Mapa inherente'!$L$14="Leve"),CONCATENATE("R",'Mapa inherente'!$A$14),"")</f>
        <v/>
      </c>
      <c r="M29" s="257"/>
      <c r="N29" s="257" t="str">
        <f>IF(AND('Mapa inherente'!$H$15="Baja",'Mapa inherente'!$L$15="Leve"),CONCATENATE("R",'Mapa inherente'!$A$15),"")</f>
        <v/>
      </c>
      <c r="O29" s="260"/>
      <c r="P29" s="265" t="str">
        <f>IF(AND('Mapa inherente'!$H$13="Baja",'Mapa inherente'!$L$13="Menor"),CONCATENATE("R",'Mapa inherente'!$A$13),"")</f>
        <v/>
      </c>
      <c r="Q29" s="266"/>
      <c r="R29" s="266" t="str">
        <f>IF(AND('Mapa inherente'!$H$14="Baja",'Mapa inherente'!$L$14="Menor"),CONCATENATE("R",'Mapa inherente'!$A$14),"")</f>
        <v/>
      </c>
      <c r="S29" s="266"/>
      <c r="T29" s="266" t="str">
        <f>IF(AND('Mapa inherente'!$H$15="Baja",'Mapa inherente'!$L$15="Menor"),CONCATENATE("R",'Mapa inherente'!$A$15),"")</f>
        <v/>
      </c>
      <c r="U29" s="269"/>
      <c r="V29" s="265" t="str">
        <f>IF(AND('Mapa inherente'!$H$13="Baja",'Mapa inherente'!$L$13="Moderado"),CONCATENATE("R",'Mapa inherente'!$A$13),"")</f>
        <v/>
      </c>
      <c r="W29" s="266"/>
      <c r="X29" s="266" t="str">
        <f>IF(AND('Mapa inherente'!$H$14="Baja",'Mapa inherente'!$L$14="Moderado"),CONCATENATE("R",'Mapa inherente'!$A$14),"")</f>
        <v/>
      </c>
      <c r="Y29" s="266"/>
      <c r="Z29" s="266" t="str">
        <f>IF(AND('Mapa inherente'!$H$15="Baja",'Mapa inherente'!$L$15="Moderado"),CONCATENATE("R",'Mapa inherente'!$A$15),"")</f>
        <v/>
      </c>
      <c r="AA29" s="269"/>
      <c r="AB29" s="283" t="str">
        <f>IF(AND('Mapa inherente'!$H$13="Baja",'Mapa inherente'!$L$13="Mayor"),CONCATENATE("R",'Mapa inherente'!$A$13),"")</f>
        <v/>
      </c>
      <c r="AC29" s="284"/>
      <c r="AD29" s="284" t="str">
        <f>IF(AND('Mapa inherente'!$H$14="Baja",'Mapa inherente'!$L$14="Mayor"),CONCATENATE("R",'Mapa inherente'!$A$14),"")</f>
        <v/>
      </c>
      <c r="AE29" s="284"/>
      <c r="AF29" s="284" t="str">
        <f>IF(AND('Mapa inherente'!$H$15="Baja",'Mapa inherente'!$L$15="Mayor"),CONCATENATE("R",'Mapa inherente'!$A$15),"")</f>
        <v/>
      </c>
      <c r="AG29" s="287"/>
      <c r="AH29" s="274" t="str">
        <f>IF(AND('Mapa inherente'!$H$13="Baja",'Mapa inherente'!$L$13="Catastrófico"),CONCATENATE("R",'Mapa inherente'!$A$13),"")</f>
        <v/>
      </c>
      <c r="AI29" s="275"/>
      <c r="AJ29" s="275" t="str">
        <f>IF(AND('Mapa inherente'!$H$14="Baja",'Mapa inherente'!$L$14="Catastrófico"),CONCATENATE("R",'Mapa inherente'!$A$14),"")</f>
        <v/>
      </c>
      <c r="AK29" s="275"/>
      <c r="AL29" s="275" t="str">
        <f>IF(AND('Mapa inherente'!$H$15="Baja",'Mapa inherente'!$L$15="Catastrófico"),CONCATENATE("R",'Mapa inherente'!$A$15),"")</f>
        <v/>
      </c>
      <c r="AM29" s="278"/>
      <c r="AN29" s="38"/>
      <c r="AO29" s="344"/>
      <c r="AP29" s="345"/>
      <c r="AQ29" s="345"/>
      <c r="AR29" s="345"/>
      <c r="AS29" s="345"/>
      <c r="AT29" s="346"/>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row>
    <row r="30" spans="1:80" ht="15" customHeight="1" x14ac:dyDescent="0.25">
      <c r="A30" s="38"/>
      <c r="B30" s="312"/>
      <c r="C30" s="312"/>
      <c r="D30" s="313"/>
      <c r="E30" s="296"/>
      <c r="F30" s="297"/>
      <c r="G30" s="297"/>
      <c r="H30" s="297"/>
      <c r="I30" s="297"/>
      <c r="J30" s="256"/>
      <c r="K30" s="257"/>
      <c r="L30" s="257"/>
      <c r="M30" s="257"/>
      <c r="N30" s="257"/>
      <c r="O30" s="260"/>
      <c r="P30" s="265"/>
      <c r="Q30" s="266"/>
      <c r="R30" s="266"/>
      <c r="S30" s="266"/>
      <c r="T30" s="266"/>
      <c r="U30" s="269"/>
      <c r="V30" s="265"/>
      <c r="W30" s="266"/>
      <c r="X30" s="266"/>
      <c r="Y30" s="266"/>
      <c r="Z30" s="266"/>
      <c r="AA30" s="269"/>
      <c r="AB30" s="283"/>
      <c r="AC30" s="284"/>
      <c r="AD30" s="284"/>
      <c r="AE30" s="284"/>
      <c r="AF30" s="284"/>
      <c r="AG30" s="287"/>
      <c r="AH30" s="274"/>
      <c r="AI30" s="275"/>
      <c r="AJ30" s="275"/>
      <c r="AK30" s="275"/>
      <c r="AL30" s="275"/>
      <c r="AM30" s="278"/>
      <c r="AN30" s="38"/>
      <c r="AO30" s="344"/>
      <c r="AP30" s="345"/>
      <c r="AQ30" s="345"/>
      <c r="AR30" s="345"/>
      <c r="AS30" s="345"/>
      <c r="AT30" s="346"/>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row>
    <row r="31" spans="1:80" ht="15" customHeight="1" x14ac:dyDescent="0.25">
      <c r="A31" s="38"/>
      <c r="B31" s="312"/>
      <c r="C31" s="312"/>
      <c r="D31" s="313"/>
      <c r="E31" s="296"/>
      <c r="F31" s="297"/>
      <c r="G31" s="297"/>
      <c r="H31" s="297"/>
      <c r="I31" s="297"/>
      <c r="J31" s="256" t="str">
        <f>IF(AND('Mapa inherente'!$H$16="Baja",'Mapa inherente'!$L$16="Leve"),CONCATENATE("R",'Mapa inherente'!$A$16),"")</f>
        <v/>
      </c>
      <c r="K31" s="257"/>
      <c r="L31" s="257" t="str">
        <f>IF(AND('Mapa inherente'!$H$17="Baja",'Mapa inherente'!$L$17="Leve"),CONCATENATE("R",'Mapa inherente'!$A$17),"")</f>
        <v/>
      </c>
      <c r="M31" s="257"/>
      <c r="N31" s="257" t="str">
        <f>IF(AND('Mapa inherente'!$H$38="Baja",'Mapa inherente'!$L$38="Leve"),CONCATENATE("R",'Mapa inherente'!$A$38),"")</f>
        <v/>
      </c>
      <c r="O31" s="260"/>
      <c r="P31" s="265" t="str">
        <f>IF(AND('Mapa inherente'!$H$16="Baja",'Mapa inherente'!$L$16="Menor"),CONCATENATE("R",'Mapa inherente'!$A$16),"")</f>
        <v/>
      </c>
      <c r="Q31" s="266"/>
      <c r="R31" s="266" t="str">
        <f>IF(AND('Mapa inherente'!$H$17="Baja",'Mapa inherente'!$L$17="Menor"),CONCATENATE("R",'Mapa inherente'!$A$17),"")</f>
        <v/>
      </c>
      <c r="S31" s="266"/>
      <c r="T31" s="266" t="str">
        <f>IF(AND('Mapa inherente'!$H$38="Baja",'Mapa inherente'!$L$38="Menor"),CONCATENATE("R",'Mapa inherente'!$A$38),"")</f>
        <v/>
      </c>
      <c r="U31" s="269"/>
      <c r="V31" s="265" t="str">
        <f>IF(AND('Mapa inherente'!$H$16="Baja",'Mapa inherente'!$L$16="Moderado"),CONCATENATE("R",'Mapa inherente'!$A$16),"")</f>
        <v>R7</v>
      </c>
      <c r="W31" s="266"/>
      <c r="X31" s="266" t="str">
        <f>IF(AND('Mapa inherente'!$H$17="Baja",'Mapa inherente'!$L$17="Moderado"),CONCATENATE("R",'Mapa inherente'!$A$17),"")</f>
        <v/>
      </c>
      <c r="Y31" s="266"/>
      <c r="Z31" s="266" t="str">
        <f>IF(AND('Mapa inherente'!$H$38="Baja",'Mapa inherente'!$L$38="Moderado"),CONCATENATE("R",'Mapa inherente'!$A$38),"")</f>
        <v/>
      </c>
      <c r="AA31" s="269"/>
      <c r="AB31" s="283" t="str">
        <f>IF(AND('Mapa inherente'!$H$16="Baja",'Mapa inherente'!$L$16="Mayor"),CONCATENATE("R",'Mapa inherente'!$A$16),"")</f>
        <v/>
      </c>
      <c r="AC31" s="284"/>
      <c r="AD31" s="284" t="str">
        <f>IF(AND('Mapa inherente'!$H$17="Baja",'Mapa inherente'!$L$17="Mayor"),CONCATENATE("R",'Mapa inherente'!$A$17),"")</f>
        <v/>
      </c>
      <c r="AE31" s="284"/>
      <c r="AF31" s="284" t="str">
        <f>IF(AND('Mapa inherente'!$H$38="Baja",'Mapa inherente'!$L$38="Mayor"),CONCATENATE("R",'Mapa inherente'!$A$38),"")</f>
        <v/>
      </c>
      <c r="AG31" s="287"/>
      <c r="AH31" s="274" t="str">
        <f>IF(AND('Mapa inherente'!$H$16="Baja",'Mapa inherente'!$L$16="Catastrófico"),CONCATENATE("R",'Mapa inherente'!$A$16),"")</f>
        <v/>
      </c>
      <c r="AI31" s="275"/>
      <c r="AJ31" s="275" t="str">
        <f>IF(AND('Mapa inherente'!$H$17="Baja",'Mapa inherente'!$L$17="Catastrófico"),CONCATENATE("R",'Mapa inherente'!$A$17),"")</f>
        <v/>
      </c>
      <c r="AK31" s="275"/>
      <c r="AL31" s="275" t="str">
        <f>IF(AND('Mapa inherente'!$H$38="Baja",'Mapa inherente'!$L$38="Catastrófico"),CONCATENATE("R",'Mapa inherente'!$A$38),"")</f>
        <v/>
      </c>
      <c r="AM31" s="278"/>
      <c r="AN31" s="38"/>
      <c r="AO31" s="344"/>
      <c r="AP31" s="345"/>
      <c r="AQ31" s="345"/>
      <c r="AR31" s="345"/>
      <c r="AS31" s="345"/>
      <c r="AT31" s="346"/>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row>
    <row r="32" spans="1:80" ht="15.75" customHeight="1" thickBot="1" x14ac:dyDescent="0.3">
      <c r="A32" s="38"/>
      <c r="B32" s="312"/>
      <c r="C32" s="312"/>
      <c r="D32" s="313"/>
      <c r="E32" s="299"/>
      <c r="F32" s="300"/>
      <c r="G32" s="300"/>
      <c r="H32" s="300"/>
      <c r="I32" s="300"/>
      <c r="J32" s="258"/>
      <c r="K32" s="259"/>
      <c r="L32" s="259"/>
      <c r="M32" s="259"/>
      <c r="N32" s="259"/>
      <c r="O32" s="261"/>
      <c r="P32" s="267"/>
      <c r="Q32" s="268"/>
      <c r="R32" s="268"/>
      <c r="S32" s="268"/>
      <c r="T32" s="268"/>
      <c r="U32" s="270"/>
      <c r="V32" s="267"/>
      <c r="W32" s="268"/>
      <c r="X32" s="268"/>
      <c r="Y32" s="268"/>
      <c r="Z32" s="268"/>
      <c r="AA32" s="270"/>
      <c r="AB32" s="285"/>
      <c r="AC32" s="286"/>
      <c r="AD32" s="286"/>
      <c r="AE32" s="286"/>
      <c r="AF32" s="286"/>
      <c r="AG32" s="288"/>
      <c r="AH32" s="276"/>
      <c r="AI32" s="277"/>
      <c r="AJ32" s="277"/>
      <c r="AK32" s="277"/>
      <c r="AL32" s="277"/>
      <c r="AM32" s="279"/>
      <c r="AN32" s="38"/>
      <c r="AO32" s="347"/>
      <c r="AP32" s="348"/>
      <c r="AQ32" s="348"/>
      <c r="AR32" s="348"/>
      <c r="AS32" s="348"/>
      <c r="AT32" s="349"/>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row>
    <row r="33" spans="1:80" ht="15" customHeight="1" x14ac:dyDescent="0.25">
      <c r="A33" s="38"/>
      <c r="B33" s="312"/>
      <c r="C33" s="312"/>
      <c r="D33" s="313"/>
      <c r="E33" s="292" t="s">
        <v>103</v>
      </c>
      <c r="F33" s="294"/>
      <c r="G33" s="294"/>
      <c r="H33" s="294"/>
      <c r="I33" s="295"/>
      <c r="J33" s="262" t="str">
        <f>IF(AND('Mapa inherente'!$H$10="Muy Baja",'Mapa inherente'!$L$10="Leve"),CONCATENATE("R",'Mapa inherente'!$A$10),"")</f>
        <v/>
      </c>
      <c r="K33" s="263"/>
      <c r="L33" s="263" t="str">
        <f>IF(AND('Mapa inherente'!$H$11="Muy Baja",'Mapa inherente'!$L$11="Leve"),CONCATENATE("R",'Mapa inherente'!$A$11),"")</f>
        <v/>
      </c>
      <c r="M33" s="263"/>
      <c r="N33" s="263" t="str">
        <f>IF(AND('Mapa inherente'!$H$12="Muy Baja",'Mapa inherente'!$L$12="Leve"),CONCATENATE("R",'Mapa inherente'!$A$12),"")</f>
        <v/>
      </c>
      <c r="O33" s="264"/>
      <c r="P33" s="262" t="str">
        <f>IF(AND('Mapa inherente'!$H$10="Muy Baja",'Mapa inherente'!$L$10="Menor"),CONCATENATE("R",'Mapa inherente'!$A$10),"")</f>
        <v/>
      </c>
      <c r="Q33" s="263"/>
      <c r="R33" s="263" t="str">
        <f>IF(AND('Mapa inherente'!$H$11="Muy Baja",'Mapa inherente'!$L$11="Menor"),CONCATENATE("R",'Mapa inherente'!$A$11),"")</f>
        <v/>
      </c>
      <c r="S33" s="263"/>
      <c r="T33" s="263" t="str">
        <f>IF(AND('Mapa inherente'!$H$12="Muy Baja",'Mapa inherente'!$L$12="Menor"),CONCATENATE("R",'Mapa inherente'!$A$12),"")</f>
        <v/>
      </c>
      <c r="U33" s="264"/>
      <c r="V33" s="271" t="str">
        <f>IF(AND('Mapa inherente'!$H$10="Muy Baja",'Mapa inherente'!$L$10="Moderado"),CONCATENATE("R",'Mapa inherente'!$A$10),"")</f>
        <v/>
      </c>
      <c r="W33" s="272"/>
      <c r="X33" s="272" t="str">
        <f>IF(AND('Mapa inherente'!$H$11="Muy Baja",'Mapa inherente'!$L$11="Moderado"),CONCATENATE("R",'Mapa inherente'!$A$11),"")</f>
        <v/>
      </c>
      <c r="Y33" s="272"/>
      <c r="Z33" s="272" t="str">
        <f>IF(AND('Mapa inherente'!$H$12="Muy Baja",'Mapa inherente'!$L$12="Moderado"),CONCATENATE("R",'Mapa inherente'!$A$12),"")</f>
        <v/>
      </c>
      <c r="AA33" s="273"/>
      <c r="AB33" s="289" t="str">
        <f>IF(AND('Mapa inherente'!$H$10="Muy Baja",'Mapa inherente'!$L$10="Mayor"),CONCATENATE("R",'Mapa inherente'!$A$10),"")</f>
        <v/>
      </c>
      <c r="AC33" s="290"/>
      <c r="AD33" s="290" t="str">
        <f>IF(AND('Mapa inherente'!$H$11="Muy Baja",'Mapa inherente'!$L$11="Mayor"),CONCATENATE("R",'Mapa inherente'!$A$11),"")</f>
        <v/>
      </c>
      <c r="AE33" s="290"/>
      <c r="AF33" s="290" t="str">
        <f>IF(AND('Mapa inherente'!$H$12="Muy Baja",'Mapa inherente'!$L$12="Mayor"),CONCATENATE("R",'Mapa inherente'!$A$12),"")</f>
        <v/>
      </c>
      <c r="AG33" s="291"/>
      <c r="AH33" s="280" t="str">
        <f>IF(AND('Mapa inherente'!$H$10="Muy Baja",'Mapa inherente'!$L$10="Catastrófico"),CONCATENATE("R",'Mapa inherente'!$A$10),"")</f>
        <v/>
      </c>
      <c r="AI33" s="281"/>
      <c r="AJ33" s="281" t="str">
        <f>IF(AND('Mapa inherente'!$H$11="Muy Baja",'Mapa inherente'!$L$11="Catastrófico"),CONCATENATE("R",'Mapa inherente'!$A$11),"")</f>
        <v/>
      </c>
      <c r="AK33" s="281"/>
      <c r="AL33" s="281" t="str">
        <f>IF(AND('Mapa inherente'!$H$12="Muy Baja",'Mapa inherente'!$L$12="Catastrófico"),CONCATENATE("R",'Mapa inherente'!$A$12),"")</f>
        <v/>
      </c>
      <c r="AM33" s="282"/>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row>
    <row r="34" spans="1:80" ht="15" customHeight="1" x14ac:dyDescent="0.25">
      <c r="A34" s="38"/>
      <c r="B34" s="312"/>
      <c r="C34" s="312"/>
      <c r="D34" s="313"/>
      <c r="E34" s="296"/>
      <c r="F34" s="297"/>
      <c r="G34" s="297"/>
      <c r="H34" s="297"/>
      <c r="I34" s="298"/>
      <c r="J34" s="256"/>
      <c r="K34" s="257"/>
      <c r="L34" s="257"/>
      <c r="M34" s="257"/>
      <c r="N34" s="257"/>
      <c r="O34" s="260"/>
      <c r="P34" s="256"/>
      <c r="Q34" s="257"/>
      <c r="R34" s="257"/>
      <c r="S34" s="257"/>
      <c r="T34" s="257"/>
      <c r="U34" s="260"/>
      <c r="V34" s="265"/>
      <c r="W34" s="266"/>
      <c r="X34" s="266"/>
      <c r="Y34" s="266"/>
      <c r="Z34" s="266"/>
      <c r="AA34" s="269"/>
      <c r="AB34" s="283"/>
      <c r="AC34" s="284"/>
      <c r="AD34" s="284"/>
      <c r="AE34" s="284"/>
      <c r="AF34" s="284"/>
      <c r="AG34" s="287"/>
      <c r="AH34" s="274"/>
      <c r="AI34" s="275"/>
      <c r="AJ34" s="275"/>
      <c r="AK34" s="275"/>
      <c r="AL34" s="275"/>
      <c r="AM34" s="27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row>
    <row r="35" spans="1:80" ht="15" customHeight="1" x14ac:dyDescent="0.25">
      <c r="A35" s="38"/>
      <c r="B35" s="312"/>
      <c r="C35" s="312"/>
      <c r="D35" s="313"/>
      <c r="E35" s="296"/>
      <c r="F35" s="297"/>
      <c r="G35" s="297"/>
      <c r="H35" s="297"/>
      <c r="I35" s="298"/>
      <c r="J35" s="256" t="str">
        <f>IF(AND('Mapa inherente'!$H$13="Muy Baja",'Mapa inherente'!$L$13="Leve"),CONCATENATE("R",'Mapa inherente'!$A$13),"")</f>
        <v/>
      </c>
      <c r="K35" s="257"/>
      <c r="L35" s="257" t="str">
        <f>IF(AND('Mapa inherente'!$H$14="Muy Baja",'Mapa inherente'!$L$14="Leve"),CONCATENATE("R",'Mapa inherente'!$A$14),"")</f>
        <v/>
      </c>
      <c r="M35" s="257"/>
      <c r="N35" s="257" t="str">
        <f>IF(AND('Mapa inherente'!$H$15="Muy Baja",'Mapa inherente'!$L$15="Leve"),CONCATENATE("R",'Mapa inherente'!$A$15),"")</f>
        <v/>
      </c>
      <c r="O35" s="260"/>
      <c r="P35" s="256" t="str">
        <f>IF(AND('Mapa inherente'!$H$13="Muy Baja",'Mapa inherente'!$L$13="Menor"),CONCATENATE("R",'Mapa inherente'!$A$13),"")</f>
        <v/>
      </c>
      <c r="Q35" s="257"/>
      <c r="R35" s="257" t="str">
        <f>IF(AND('Mapa inherente'!$H$14="Muy Baja",'Mapa inherente'!$L$14="Menor"),CONCATENATE("R",'Mapa inherente'!$A$14),"")</f>
        <v/>
      </c>
      <c r="S35" s="257"/>
      <c r="T35" s="257" t="str">
        <f>IF(AND('Mapa inherente'!$H$15="Muy Baja",'Mapa inherente'!$L$15="Menor"),CONCATENATE("R",'Mapa inherente'!$A$15),"")</f>
        <v/>
      </c>
      <c r="U35" s="260"/>
      <c r="V35" s="265" t="str">
        <f>IF(AND('Mapa inherente'!$H$13="Muy Baja",'Mapa inherente'!$L$13="Moderado"),CONCATENATE("R",'Mapa inherente'!$A$13),"")</f>
        <v/>
      </c>
      <c r="W35" s="266"/>
      <c r="X35" s="266" t="str">
        <f>IF(AND('Mapa inherente'!$H$14="Muy Baja",'Mapa inherente'!$L$14="Moderado"),CONCATENATE("R",'Mapa inherente'!$A$14),"")</f>
        <v/>
      </c>
      <c r="Y35" s="266"/>
      <c r="Z35" s="266" t="str">
        <f>IF(AND('Mapa inherente'!$H$15="Muy Baja",'Mapa inherente'!$L$15="Moderado"),CONCATENATE("R",'Mapa inherente'!$A$15),"")</f>
        <v/>
      </c>
      <c r="AA35" s="269"/>
      <c r="AB35" s="283" t="str">
        <f>IF(AND('Mapa inherente'!$H$13="Muy Baja",'Mapa inherente'!$L$13="Mayor"),CONCATENATE("R",'Mapa inherente'!$A$13),"")</f>
        <v>R4</v>
      </c>
      <c r="AC35" s="284"/>
      <c r="AD35" s="284" t="str">
        <f>IF(AND('Mapa inherente'!$H$14="Muy Baja",'Mapa inherente'!$L$14="Mayor"),CONCATENATE("R",'Mapa inherente'!$A$14),"")</f>
        <v/>
      </c>
      <c r="AE35" s="284"/>
      <c r="AF35" s="284" t="str">
        <f>IF(AND('Mapa inherente'!$H$15="Muy Baja",'Mapa inherente'!$L$15="Mayor"),CONCATENATE("R",'Mapa inherente'!$A$15),"")</f>
        <v/>
      </c>
      <c r="AG35" s="287"/>
      <c r="AH35" s="274" t="str">
        <f>IF(AND('Mapa inherente'!$H$13="Muy Baja",'Mapa inherente'!$L$13="Catastrófico"),CONCATENATE("R",'Mapa inherente'!$A$13),"")</f>
        <v/>
      </c>
      <c r="AI35" s="275"/>
      <c r="AJ35" s="275" t="str">
        <f>IF(AND('Mapa inherente'!$H$14="Muy Baja",'Mapa inherente'!$L$14="Catastrófico"),CONCATENATE("R",'Mapa inherente'!$A$14),"")</f>
        <v/>
      </c>
      <c r="AK35" s="275"/>
      <c r="AL35" s="275" t="str">
        <f>IF(AND('Mapa inherente'!$H$15="Muy Baja",'Mapa inherente'!$L$15="Catastrófico"),CONCATENATE("R",'Mapa inherente'!$A$15),"")</f>
        <v/>
      </c>
      <c r="AM35" s="27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row>
    <row r="36" spans="1:80" ht="15" customHeight="1" x14ac:dyDescent="0.25">
      <c r="A36" s="38"/>
      <c r="B36" s="312"/>
      <c r="C36" s="312"/>
      <c r="D36" s="313"/>
      <c r="E36" s="296"/>
      <c r="F36" s="297"/>
      <c r="G36" s="297"/>
      <c r="H36" s="297"/>
      <c r="I36" s="298"/>
      <c r="J36" s="256"/>
      <c r="K36" s="257"/>
      <c r="L36" s="257"/>
      <c r="M36" s="257"/>
      <c r="N36" s="257"/>
      <c r="O36" s="260"/>
      <c r="P36" s="256"/>
      <c r="Q36" s="257"/>
      <c r="R36" s="257"/>
      <c r="S36" s="257"/>
      <c r="T36" s="257"/>
      <c r="U36" s="260"/>
      <c r="V36" s="265"/>
      <c r="W36" s="266"/>
      <c r="X36" s="266"/>
      <c r="Y36" s="266"/>
      <c r="Z36" s="266"/>
      <c r="AA36" s="269"/>
      <c r="AB36" s="283"/>
      <c r="AC36" s="284"/>
      <c r="AD36" s="284"/>
      <c r="AE36" s="284"/>
      <c r="AF36" s="284"/>
      <c r="AG36" s="287"/>
      <c r="AH36" s="274"/>
      <c r="AI36" s="275"/>
      <c r="AJ36" s="275"/>
      <c r="AK36" s="275"/>
      <c r="AL36" s="275"/>
      <c r="AM36" s="27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row>
    <row r="37" spans="1:80" ht="15" customHeight="1" x14ac:dyDescent="0.25">
      <c r="A37" s="38"/>
      <c r="B37" s="312"/>
      <c r="C37" s="312"/>
      <c r="D37" s="313"/>
      <c r="E37" s="296"/>
      <c r="F37" s="297"/>
      <c r="G37" s="297"/>
      <c r="H37" s="297"/>
      <c r="I37" s="298"/>
      <c r="J37" s="256" t="str">
        <f>IF(AND('Mapa inherente'!$H$16="Muy Baja",'Mapa inherente'!$L$16="Leve"),CONCATENATE("R",'Mapa inherente'!$A$16),"")</f>
        <v/>
      </c>
      <c r="K37" s="257"/>
      <c r="L37" s="257" t="str">
        <f>IF(AND('Mapa inherente'!$H$17="Muy Baja",'Mapa inherente'!$L$17="Leve"),CONCATENATE("R",'Mapa inherente'!$A$17),"")</f>
        <v/>
      </c>
      <c r="M37" s="257"/>
      <c r="N37" s="257" t="str">
        <f>IF(AND('Mapa inherente'!$H$38="Muy Baja",'Mapa inherente'!$L$38="Leve"),CONCATENATE("R",'Mapa inherente'!$A$38),"")</f>
        <v/>
      </c>
      <c r="O37" s="260"/>
      <c r="P37" s="256" t="str">
        <f>IF(AND('Mapa inherente'!$H$16="Muy Baja",'Mapa inherente'!$L$16="Menor"),CONCATENATE("R",'Mapa inherente'!$A$16),"")</f>
        <v/>
      </c>
      <c r="Q37" s="257"/>
      <c r="R37" s="257" t="str">
        <f>IF(AND('Mapa inherente'!$H$17="Muy Baja",'Mapa inherente'!$L$17="Menor"),CONCATENATE("R",'Mapa inherente'!$A$17),"")</f>
        <v>R8</v>
      </c>
      <c r="S37" s="257"/>
      <c r="T37" s="257" t="str">
        <f>IF(AND('Mapa inherente'!$H$38="Muy Baja",'Mapa inherente'!$L$38="Menor"),CONCATENATE("R",'Mapa inherente'!$A$38),"")</f>
        <v/>
      </c>
      <c r="U37" s="260"/>
      <c r="V37" s="265" t="str">
        <f>IF(AND('Mapa inherente'!$H$16="Muy Baja",'Mapa inherente'!$L$16="Moderado"),CONCATENATE("R",'Mapa inherente'!$A$16),"")</f>
        <v/>
      </c>
      <c r="W37" s="266"/>
      <c r="X37" s="266" t="str">
        <f>IF(AND('Mapa inherente'!$H$17="Muy Baja",'Mapa inherente'!$L$17="Moderado"),CONCATENATE("R",'Mapa inherente'!$A$17),"")</f>
        <v/>
      </c>
      <c r="Y37" s="266"/>
      <c r="Z37" s="266" t="str">
        <f>IF(AND('Mapa inherente'!$H$38="Muy Baja",'Mapa inherente'!$L$38="Moderado"),CONCATENATE("R",'Mapa inherente'!$A$38),"")</f>
        <v/>
      </c>
      <c r="AA37" s="269"/>
      <c r="AB37" s="283" t="str">
        <f>IF(AND('Mapa inherente'!$H$16="Muy Baja",'Mapa inherente'!$L$16="Mayor"),CONCATENATE("R",'Mapa inherente'!$A$16),"")</f>
        <v/>
      </c>
      <c r="AC37" s="284"/>
      <c r="AD37" s="284" t="str">
        <f>IF(AND('Mapa inherente'!$H$17="Muy Baja",'Mapa inherente'!$L$17="Mayor"),CONCATENATE("R",'Mapa inherente'!$A$17),"")</f>
        <v/>
      </c>
      <c r="AE37" s="284"/>
      <c r="AF37" s="284" t="str">
        <f>IF(AND('Mapa inherente'!$H$38="Muy Baja",'Mapa inherente'!$L$38="Mayor"),CONCATENATE("R",'Mapa inherente'!$A$38),"")</f>
        <v/>
      </c>
      <c r="AG37" s="287"/>
      <c r="AH37" s="274" t="str">
        <f>IF(AND('Mapa inherente'!$H$16="Muy Baja",'Mapa inherente'!$L$16="Catastrófico"),CONCATENATE("R",'Mapa inherente'!$A$16),"")</f>
        <v/>
      </c>
      <c r="AI37" s="275"/>
      <c r="AJ37" s="275" t="str">
        <f>IF(AND('Mapa inherente'!$H$17="Muy Baja",'Mapa inherente'!$L$17="Catastrófico"),CONCATENATE("R",'Mapa inherente'!$A$17),"")</f>
        <v/>
      </c>
      <c r="AK37" s="275"/>
      <c r="AL37" s="275" t="str">
        <f>IF(AND('Mapa inherente'!$H$38="Muy Baja",'Mapa inherente'!$L$38="Catastrófico"),CONCATENATE("R",'Mapa inherente'!$A$38),"")</f>
        <v/>
      </c>
      <c r="AM37" s="27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row>
    <row r="38" spans="1:80" ht="15.75" customHeight="1" thickBot="1" x14ac:dyDescent="0.3">
      <c r="A38" s="38"/>
      <c r="B38" s="312"/>
      <c r="C38" s="312"/>
      <c r="D38" s="313"/>
      <c r="E38" s="299"/>
      <c r="F38" s="300"/>
      <c r="G38" s="300"/>
      <c r="H38" s="300"/>
      <c r="I38" s="301"/>
      <c r="J38" s="258"/>
      <c r="K38" s="259"/>
      <c r="L38" s="259"/>
      <c r="M38" s="259"/>
      <c r="N38" s="259"/>
      <c r="O38" s="261"/>
      <c r="P38" s="258"/>
      <c r="Q38" s="259"/>
      <c r="R38" s="259"/>
      <c r="S38" s="259"/>
      <c r="T38" s="259"/>
      <c r="U38" s="261"/>
      <c r="V38" s="267"/>
      <c r="W38" s="268"/>
      <c r="X38" s="268"/>
      <c r="Y38" s="268"/>
      <c r="Z38" s="268"/>
      <c r="AA38" s="270"/>
      <c r="AB38" s="285"/>
      <c r="AC38" s="286"/>
      <c r="AD38" s="286"/>
      <c r="AE38" s="286"/>
      <c r="AF38" s="286"/>
      <c r="AG38" s="288"/>
      <c r="AH38" s="276"/>
      <c r="AI38" s="277"/>
      <c r="AJ38" s="277"/>
      <c r="AK38" s="277"/>
      <c r="AL38" s="277"/>
      <c r="AM38" s="279"/>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row>
    <row r="39" spans="1:80" x14ac:dyDescent="0.25">
      <c r="A39" s="38"/>
      <c r="B39" s="38"/>
      <c r="C39" s="38"/>
      <c r="D39" s="38"/>
      <c r="E39" s="38"/>
      <c r="F39" s="38"/>
      <c r="G39" s="38"/>
      <c r="H39" s="38"/>
      <c r="I39" s="38"/>
      <c r="J39" s="292" t="s">
        <v>102</v>
      </c>
      <c r="K39" s="294"/>
      <c r="L39" s="294"/>
      <c r="M39" s="294"/>
      <c r="N39" s="294"/>
      <c r="O39" s="295"/>
      <c r="P39" s="292" t="s">
        <v>101</v>
      </c>
      <c r="Q39" s="294"/>
      <c r="R39" s="294"/>
      <c r="S39" s="294"/>
      <c r="T39" s="294"/>
      <c r="U39" s="295"/>
      <c r="V39" s="292" t="s">
        <v>100</v>
      </c>
      <c r="W39" s="294"/>
      <c r="X39" s="294"/>
      <c r="Y39" s="294"/>
      <c r="Z39" s="294"/>
      <c r="AA39" s="295"/>
      <c r="AB39" s="292" t="s">
        <v>99</v>
      </c>
      <c r="AC39" s="293"/>
      <c r="AD39" s="294"/>
      <c r="AE39" s="294"/>
      <c r="AF39" s="294"/>
      <c r="AG39" s="295"/>
      <c r="AH39" s="292" t="s">
        <v>98</v>
      </c>
      <c r="AI39" s="294"/>
      <c r="AJ39" s="294"/>
      <c r="AK39" s="294"/>
      <c r="AL39" s="294"/>
      <c r="AM39" s="295"/>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row>
    <row r="40" spans="1:80" x14ac:dyDescent="0.25">
      <c r="A40" s="38"/>
      <c r="B40" s="38"/>
      <c r="C40" s="38"/>
      <c r="D40" s="38"/>
      <c r="E40" s="38"/>
      <c r="F40" s="38"/>
      <c r="G40" s="38"/>
      <c r="H40" s="38"/>
      <c r="I40" s="38"/>
      <c r="J40" s="296"/>
      <c r="K40" s="297"/>
      <c r="L40" s="297"/>
      <c r="M40" s="297"/>
      <c r="N40" s="297"/>
      <c r="O40" s="298"/>
      <c r="P40" s="296"/>
      <c r="Q40" s="297"/>
      <c r="R40" s="297"/>
      <c r="S40" s="297"/>
      <c r="T40" s="297"/>
      <c r="U40" s="298"/>
      <c r="V40" s="296"/>
      <c r="W40" s="297"/>
      <c r="X40" s="297"/>
      <c r="Y40" s="297"/>
      <c r="Z40" s="297"/>
      <c r="AA40" s="298"/>
      <c r="AB40" s="296"/>
      <c r="AC40" s="297"/>
      <c r="AD40" s="297"/>
      <c r="AE40" s="297"/>
      <c r="AF40" s="297"/>
      <c r="AG40" s="298"/>
      <c r="AH40" s="296"/>
      <c r="AI40" s="297"/>
      <c r="AJ40" s="297"/>
      <c r="AK40" s="297"/>
      <c r="AL40" s="297"/>
      <c r="AM40" s="29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row>
    <row r="41" spans="1:80" x14ac:dyDescent="0.25">
      <c r="A41" s="38"/>
      <c r="B41" s="38"/>
      <c r="C41" s="38"/>
      <c r="D41" s="38"/>
      <c r="E41" s="38"/>
      <c r="F41" s="38"/>
      <c r="G41" s="38"/>
      <c r="H41" s="38"/>
      <c r="I41" s="38"/>
      <c r="J41" s="296"/>
      <c r="K41" s="297"/>
      <c r="L41" s="297"/>
      <c r="M41" s="297"/>
      <c r="N41" s="297"/>
      <c r="O41" s="298"/>
      <c r="P41" s="296"/>
      <c r="Q41" s="297"/>
      <c r="R41" s="297"/>
      <c r="S41" s="297"/>
      <c r="T41" s="297"/>
      <c r="U41" s="298"/>
      <c r="V41" s="296"/>
      <c r="W41" s="297"/>
      <c r="X41" s="297"/>
      <c r="Y41" s="297"/>
      <c r="Z41" s="297"/>
      <c r="AA41" s="298"/>
      <c r="AB41" s="296"/>
      <c r="AC41" s="297"/>
      <c r="AD41" s="297"/>
      <c r="AE41" s="297"/>
      <c r="AF41" s="297"/>
      <c r="AG41" s="298"/>
      <c r="AH41" s="296"/>
      <c r="AI41" s="297"/>
      <c r="AJ41" s="297"/>
      <c r="AK41" s="297"/>
      <c r="AL41" s="297"/>
      <c r="AM41" s="29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row>
    <row r="42" spans="1:80" x14ac:dyDescent="0.25">
      <c r="A42" s="38"/>
      <c r="B42" s="38"/>
      <c r="C42" s="38"/>
      <c r="D42" s="38"/>
      <c r="E42" s="38"/>
      <c r="F42" s="38"/>
      <c r="G42" s="38"/>
      <c r="H42" s="38"/>
      <c r="I42" s="38"/>
      <c r="J42" s="296"/>
      <c r="K42" s="297"/>
      <c r="L42" s="297"/>
      <c r="M42" s="297"/>
      <c r="N42" s="297"/>
      <c r="O42" s="298"/>
      <c r="P42" s="296"/>
      <c r="Q42" s="297"/>
      <c r="R42" s="297"/>
      <c r="S42" s="297"/>
      <c r="T42" s="297"/>
      <c r="U42" s="298"/>
      <c r="V42" s="296"/>
      <c r="W42" s="297"/>
      <c r="X42" s="297"/>
      <c r="Y42" s="297"/>
      <c r="Z42" s="297"/>
      <c r="AA42" s="298"/>
      <c r="AB42" s="296"/>
      <c r="AC42" s="297"/>
      <c r="AD42" s="297"/>
      <c r="AE42" s="297"/>
      <c r="AF42" s="297"/>
      <c r="AG42" s="298"/>
      <c r="AH42" s="296"/>
      <c r="AI42" s="297"/>
      <c r="AJ42" s="297"/>
      <c r="AK42" s="297"/>
      <c r="AL42" s="297"/>
      <c r="AM42" s="29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row>
    <row r="43" spans="1:80" x14ac:dyDescent="0.25">
      <c r="A43" s="38"/>
      <c r="B43" s="38"/>
      <c r="C43" s="38"/>
      <c r="D43" s="38"/>
      <c r="E43" s="38"/>
      <c r="F43" s="38"/>
      <c r="G43" s="38"/>
      <c r="H43" s="38"/>
      <c r="I43" s="38"/>
      <c r="J43" s="296"/>
      <c r="K43" s="297"/>
      <c r="L43" s="297"/>
      <c r="M43" s="297"/>
      <c r="N43" s="297"/>
      <c r="O43" s="298"/>
      <c r="P43" s="296"/>
      <c r="Q43" s="297"/>
      <c r="R43" s="297"/>
      <c r="S43" s="297"/>
      <c r="T43" s="297"/>
      <c r="U43" s="298"/>
      <c r="V43" s="296"/>
      <c r="W43" s="297"/>
      <c r="X43" s="297"/>
      <c r="Y43" s="297"/>
      <c r="Z43" s="297"/>
      <c r="AA43" s="298"/>
      <c r="AB43" s="296"/>
      <c r="AC43" s="297"/>
      <c r="AD43" s="297"/>
      <c r="AE43" s="297"/>
      <c r="AF43" s="297"/>
      <c r="AG43" s="298"/>
      <c r="AH43" s="296"/>
      <c r="AI43" s="297"/>
      <c r="AJ43" s="297"/>
      <c r="AK43" s="297"/>
      <c r="AL43" s="297"/>
      <c r="AM43" s="29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row>
    <row r="44" spans="1:80" ht="15.75" thickBot="1" x14ac:dyDescent="0.3">
      <c r="A44" s="38"/>
      <c r="B44" s="38"/>
      <c r="C44" s="38"/>
      <c r="D44" s="38"/>
      <c r="E44" s="38"/>
      <c r="F44" s="38"/>
      <c r="G44" s="38"/>
      <c r="H44" s="38"/>
      <c r="I44" s="38"/>
      <c r="J44" s="299"/>
      <c r="K44" s="300"/>
      <c r="L44" s="300"/>
      <c r="M44" s="300"/>
      <c r="N44" s="300"/>
      <c r="O44" s="301"/>
      <c r="P44" s="299"/>
      <c r="Q44" s="300"/>
      <c r="R44" s="300"/>
      <c r="S44" s="300"/>
      <c r="T44" s="300"/>
      <c r="U44" s="301"/>
      <c r="V44" s="299"/>
      <c r="W44" s="300"/>
      <c r="X44" s="300"/>
      <c r="Y44" s="300"/>
      <c r="Z44" s="300"/>
      <c r="AA44" s="301"/>
      <c r="AB44" s="299"/>
      <c r="AC44" s="300"/>
      <c r="AD44" s="300"/>
      <c r="AE44" s="300"/>
      <c r="AF44" s="300"/>
      <c r="AG44" s="301"/>
      <c r="AH44" s="299"/>
      <c r="AI44" s="300"/>
      <c r="AJ44" s="300"/>
      <c r="AK44" s="300"/>
      <c r="AL44" s="300"/>
      <c r="AM44" s="301"/>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row>
    <row r="45" spans="1:80" x14ac:dyDescent="0.2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row>
    <row r="46" spans="1:80" ht="15" customHeight="1" x14ac:dyDescent="0.25">
      <c r="A46" s="38"/>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row>
    <row r="47" spans="1:80" ht="15" customHeight="1" x14ac:dyDescent="0.25">
      <c r="A47" s="38"/>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row>
    <row r="48" spans="1:80" x14ac:dyDescent="0.2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row>
    <row r="49" spans="1:80" x14ac:dyDescent="0.2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row>
    <row r="50" spans="1:80" x14ac:dyDescent="0.2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row>
    <row r="51" spans="1:80" x14ac:dyDescent="0.2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row>
    <row r="52" spans="1:80" x14ac:dyDescent="0.2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row>
    <row r="53" spans="1:80" x14ac:dyDescent="0.2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row>
    <row r="54" spans="1:80" x14ac:dyDescent="0.2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row>
    <row r="55" spans="1:80" x14ac:dyDescent="0.2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row>
    <row r="56" spans="1:80" x14ac:dyDescent="0.2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row>
    <row r="57" spans="1:80" x14ac:dyDescent="0.2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row>
    <row r="58" spans="1:80" x14ac:dyDescent="0.2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row>
    <row r="59" spans="1:80" x14ac:dyDescent="0.2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row>
    <row r="60" spans="1:80" x14ac:dyDescent="0.2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row>
    <row r="61" spans="1:80" x14ac:dyDescent="0.2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row>
    <row r="62" spans="1:80" x14ac:dyDescent="0.2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row>
    <row r="63" spans="1:80" x14ac:dyDescent="0.25">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row>
    <row r="64" spans="1:80" x14ac:dyDescent="0.25">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row>
    <row r="65" spans="1:80" x14ac:dyDescent="0.2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row>
    <row r="66" spans="1:80" x14ac:dyDescent="0.2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row>
    <row r="67" spans="1:80" x14ac:dyDescent="0.2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row>
    <row r="68" spans="1:80" x14ac:dyDescent="0.2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row>
    <row r="69" spans="1:80" x14ac:dyDescent="0.2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row>
    <row r="70" spans="1:80" x14ac:dyDescent="0.25">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row>
    <row r="71" spans="1:80" x14ac:dyDescent="0.25">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row>
    <row r="72" spans="1:80" x14ac:dyDescent="0.2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row>
    <row r="73" spans="1:80" x14ac:dyDescent="0.2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row>
    <row r="74" spans="1:80" x14ac:dyDescent="0.2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row>
    <row r="75" spans="1:80" x14ac:dyDescent="0.2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row>
    <row r="76" spans="1:80" x14ac:dyDescent="0.2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row>
    <row r="77" spans="1:80" x14ac:dyDescent="0.2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row>
    <row r="78" spans="1:80" x14ac:dyDescent="0.25">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row>
    <row r="79" spans="1:80" x14ac:dyDescent="0.2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row>
    <row r="80" spans="1:80" x14ac:dyDescent="0.25">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row>
    <row r="81" spans="1:63" x14ac:dyDescent="0.25">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row>
    <row r="82" spans="1:63" x14ac:dyDescent="0.25">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row>
    <row r="83" spans="1:63" x14ac:dyDescent="0.25">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row>
    <row r="84" spans="1:63" x14ac:dyDescent="0.25">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row>
    <row r="85" spans="1:63" x14ac:dyDescent="0.25">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row>
    <row r="86" spans="1:63" x14ac:dyDescent="0.25">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row>
    <row r="87" spans="1:63" x14ac:dyDescent="0.25">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row>
    <row r="88" spans="1:63" x14ac:dyDescent="0.25">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row>
    <row r="89" spans="1:63" x14ac:dyDescent="0.25">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row>
    <row r="90" spans="1:63" x14ac:dyDescent="0.25">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row>
    <row r="91" spans="1:63" x14ac:dyDescent="0.25">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row>
    <row r="92" spans="1:63" x14ac:dyDescent="0.25">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row>
    <row r="93" spans="1:63" x14ac:dyDescent="0.25">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row>
    <row r="94" spans="1:63" x14ac:dyDescent="0.25">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row>
    <row r="95" spans="1:63" x14ac:dyDescent="0.25">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row>
    <row r="96" spans="1:63" x14ac:dyDescent="0.2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row>
    <row r="97" spans="1:63" x14ac:dyDescent="0.2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row>
    <row r="98" spans="1:63" x14ac:dyDescent="0.2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row>
    <row r="99" spans="1:63" x14ac:dyDescent="0.2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row>
    <row r="100" spans="1:63" x14ac:dyDescent="0.2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row>
    <row r="101" spans="1:63" x14ac:dyDescent="0.2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row>
    <row r="102" spans="1:63"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row>
    <row r="103" spans="1:63" x14ac:dyDescent="0.2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row>
    <row r="104" spans="1:63" x14ac:dyDescent="0.2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row>
    <row r="105" spans="1:63"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row>
    <row r="106" spans="1:63"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row>
    <row r="107" spans="1:63"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row>
    <row r="108" spans="1:63"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row>
    <row r="109" spans="1:63"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row>
    <row r="110" spans="1:63"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row>
    <row r="111" spans="1:63"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row>
    <row r="112" spans="1:63"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row>
    <row r="113" spans="1:63"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row>
    <row r="114" spans="1:63"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row>
    <row r="115" spans="1:63" x14ac:dyDescent="0.25">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row>
    <row r="116" spans="1:63" x14ac:dyDescent="0.25">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row>
    <row r="117" spans="1:63" x14ac:dyDescent="0.2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row>
    <row r="118" spans="1:63" x14ac:dyDescent="0.25">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row>
    <row r="119" spans="1:63" x14ac:dyDescent="0.25">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row>
    <row r="120" spans="1:63" x14ac:dyDescent="0.2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row>
    <row r="121" spans="1:63" x14ac:dyDescent="0.2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row>
    <row r="122" spans="1:63" x14ac:dyDescent="0.25">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row>
    <row r="123" spans="1:63" x14ac:dyDescent="0.25">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row>
    <row r="124" spans="1:63" x14ac:dyDescent="0.25">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row>
    <row r="125" spans="1:63" x14ac:dyDescent="0.25">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row>
    <row r="126" spans="1:63" x14ac:dyDescent="0.25">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row>
    <row r="127" spans="1:63" x14ac:dyDescent="0.25">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row>
    <row r="128" spans="1:63" x14ac:dyDescent="0.25">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row>
    <row r="129" spans="2:63" x14ac:dyDescent="0.25">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row>
    <row r="130" spans="2:63" x14ac:dyDescent="0.25">
      <c r="B130" s="38"/>
      <c r="C130" s="38"/>
      <c r="D130" s="38"/>
      <c r="E130" s="38"/>
      <c r="F130" s="38"/>
      <c r="G130" s="38"/>
      <c r="H130" s="38"/>
      <c r="I130" s="38"/>
    </row>
    <row r="131" spans="2:63" x14ac:dyDescent="0.25">
      <c r="B131" s="38"/>
      <c r="C131" s="38"/>
      <c r="D131" s="38"/>
      <c r="E131" s="38"/>
      <c r="F131" s="38"/>
      <c r="G131" s="38"/>
      <c r="H131" s="38"/>
      <c r="I131" s="38"/>
    </row>
    <row r="132" spans="2:63" x14ac:dyDescent="0.25">
      <c r="B132" s="38"/>
      <c r="C132" s="38"/>
      <c r="D132" s="38"/>
      <c r="E132" s="38"/>
      <c r="F132" s="38"/>
      <c r="G132" s="38"/>
      <c r="H132" s="38"/>
      <c r="I132" s="38"/>
    </row>
    <row r="133" spans="2:63" x14ac:dyDescent="0.25">
      <c r="B133" s="38"/>
      <c r="C133" s="38"/>
      <c r="D133" s="38"/>
      <c r="E133" s="38"/>
      <c r="F133" s="38"/>
      <c r="G133" s="38"/>
      <c r="H133" s="38"/>
      <c r="I133" s="38"/>
    </row>
  </sheetData>
  <mergeCells count="246">
    <mergeCell ref="B2:I3"/>
    <mergeCell ref="J2:AM2"/>
    <mergeCell ref="J3:AM3"/>
    <mergeCell ref="AN2:AT3"/>
    <mergeCell ref="B9:D38"/>
    <mergeCell ref="AO9:AT14"/>
    <mergeCell ref="AO15:AT20"/>
    <mergeCell ref="AO21:AT26"/>
    <mergeCell ref="AO27:AT32"/>
    <mergeCell ref="E21:I26"/>
    <mergeCell ref="E33:I38"/>
    <mergeCell ref="J5:AM7"/>
    <mergeCell ref="E9:I14"/>
    <mergeCell ref="E15:I20"/>
    <mergeCell ref="E27:I32"/>
    <mergeCell ref="AB9:AC10"/>
    <mergeCell ref="AD9:AE10"/>
    <mergeCell ref="AB15:AC16"/>
    <mergeCell ref="AD15:AE16"/>
    <mergeCell ref="AF15:AG16"/>
    <mergeCell ref="AB17:AC18"/>
    <mergeCell ref="AD17:AE18"/>
    <mergeCell ref="AF17:AG18"/>
    <mergeCell ref="AB19:AC20"/>
    <mergeCell ref="J39:O44"/>
    <mergeCell ref="P39:U44"/>
    <mergeCell ref="V39:AA44"/>
    <mergeCell ref="N13:O14"/>
    <mergeCell ref="V9:W10"/>
    <mergeCell ref="X9:Y10"/>
    <mergeCell ref="Z9:AA10"/>
    <mergeCell ref="V11:W12"/>
    <mergeCell ref="X11:Y12"/>
    <mergeCell ref="Z11:AA12"/>
    <mergeCell ref="R9:S10"/>
    <mergeCell ref="T9:U10"/>
    <mergeCell ref="V13:W14"/>
    <mergeCell ref="X13:Y14"/>
    <mergeCell ref="V19:W20"/>
    <mergeCell ref="X19:Y20"/>
    <mergeCell ref="Z19:AA20"/>
    <mergeCell ref="V15:W16"/>
    <mergeCell ref="X15:Y16"/>
    <mergeCell ref="Z15:AA16"/>
    <mergeCell ref="V17:W18"/>
    <mergeCell ref="X17:Y18"/>
    <mergeCell ref="Z17:AA18"/>
    <mergeCell ref="J19:K20"/>
    <mergeCell ref="AB39:AG44"/>
    <mergeCell ref="AH39:AM44"/>
    <mergeCell ref="P9:Q10"/>
    <mergeCell ref="P13:Q14"/>
    <mergeCell ref="J9:K10"/>
    <mergeCell ref="N9:O10"/>
    <mergeCell ref="N11:O12"/>
    <mergeCell ref="L11:M12"/>
    <mergeCell ref="J11:K12"/>
    <mergeCell ref="P11:Q12"/>
    <mergeCell ref="R11:S12"/>
    <mergeCell ref="T11:U12"/>
    <mergeCell ref="R13:S14"/>
    <mergeCell ref="T13:U14"/>
    <mergeCell ref="J13:K14"/>
    <mergeCell ref="L13:M14"/>
    <mergeCell ref="AF9:AG10"/>
    <mergeCell ref="AB11:AC12"/>
    <mergeCell ref="AD11:AE12"/>
    <mergeCell ref="AF11:AG12"/>
    <mergeCell ref="AB13:AC14"/>
    <mergeCell ref="AD13:AE14"/>
    <mergeCell ref="AF13:AG14"/>
    <mergeCell ref="Z13:AA14"/>
    <mergeCell ref="AD19:AE20"/>
    <mergeCell ref="AF19:AG20"/>
    <mergeCell ref="AB25:AC26"/>
    <mergeCell ref="AD25:AE26"/>
    <mergeCell ref="AF25:AG26"/>
    <mergeCell ref="AB21:AC22"/>
    <mergeCell ref="AD21:AE22"/>
    <mergeCell ref="AF21:AG22"/>
    <mergeCell ref="AB23:AC24"/>
    <mergeCell ref="AD23:AE24"/>
    <mergeCell ref="AF23:AG24"/>
    <mergeCell ref="AB31:AC32"/>
    <mergeCell ref="AD31:AE32"/>
    <mergeCell ref="AF31:AG32"/>
    <mergeCell ref="AB27:AC28"/>
    <mergeCell ref="AD27:AE28"/>
    <mergeCell ref="AF27:AG28"/>
    <mergeCell ref="AB29:AC30"/>
    <mergeCell ref="AD29:AE30"/>
    <mergeCell ref="AF29:AG30"/>
    <mergeCell ref="AB37:AC38"/>
    <mergeCell ref="AD37:AE38"/>
    <mergeCell ref="AF37:AG38"/>
    <mergeCell ref="AB33:AC34"/>
    <mergeCell ref="AD33:AE34"/>
    <mergeCell ref="AF33:AG34"/>
    <mergeCell ref="AB35:AC36"/>
    <mergeCell ref="AD35:AE36"/>
    <mergeCell ref="AF35:AG36"/>
    <mergeCell ref="AH13:AI14"/>
    <mergeCell ref="AJ13:AK14"/>
    <mergeCell ref="AL13:AM14"/>
    <mergeCell ref="AH9:AI10"/>
    <mergeCell ref="AJ9:AK10"/>
    <mergeCell ref="AL9:AM10"/>
    <mergeCell ref="AH11:AI12"/>
    <mergeCell ref="AJ11:AK12"/>
    <mergeCell ref="AL11:AM12"/>
    <mergeCell ref="AJ21:AK22"/>
    <mergeCell ref="AL21:AM22"/>
    <mergeCell ref="AH23:AI24"/>
    <mergeCell ref="AJ23:AK24"/>
    <mergeCell ref="AL23:AM24"/>
    <mergeCell ref="AH19:AI20"/>
    <mergeCell ref="AJ19:AK20"/>
    <mergeCell ref="AL19:AM20"/>
    <mergeCell ref="AH15:AI16"/>
    <mergeCell ref="AJ15:AK16"/>
    <mergeCell ref="AL15:AM16"/>
    <mergeCell ref="AH17:AI18"/>
    <mergeCell ref="AJ17:AK18"/>
    <mergeCell ref="AL17:AM18"/>
    <mergeCell ref="N17:O18"/>
    <mergeCell ref="P19:Q20"/>
    <mergeCell ref="AH37:AI38"/>
    <mergeCell ref="AJ37:AK38"/>
    <mergeCell ref="AL37:AM38"/>
    <mergeCell ref="AH33:AI34"/>
    <mergeCell ref="AJ33:AK34"/>
    <mergeCell ref="AL33:AM34"/>
    <mergeCell ref="AH35:AI36"/>
    <mergeCell ref="AJ35:AK36"/>
    <mergeCell ref="AL35:AM36"/>
    <mergeCell ref="AH31:AI32"/>
    <mergeCell ref="AJ31:AK32"/>
    <mergeCell ref="AL31:AM32"/>
    <mergeCell ref="AH27:AI28"/>
    <mergeCell ref="AJ27:AK28"/>
    <mergeCell ref="AL27:AM28"/>
    <mergeCell ref="AH29:AI30"/>
    <mergeCell ref="AJ29:AK30"/>
    <mergeCell ref="AL29:AM30"/>
    <mergeCell ref="AH25:AI26"/>
    <mergeCell ref="AJ25:AK26"/>
    <mergeCell ref="AL25:AM26"/>
    <mergeCell ref="AH21:AI22"/>
    <mergeCell ref="R19:S20"/>
    <mergeCell ref="T19:U20"/>
    <mergeCell ref="P15:Q16"/>
    <mergeCell ref="R15:S16"/>
    <mergeCell ref="T15:U16"/>
    <mergeCell ref="P17:Q18"/>
    <mergeCell ref="R17:S18"/>
    <mergeCell ref="T17:U18"/>
    <mergeCell ref="J25:K26"/>
    <mergeCell ref="L25:M26"/>
    <mergeCell ref="N25:O26"/>
    <mergeCell ref="J21:K22"/>
    <mergeCell ref="L21:M22"/>
    <mergeCell ref="N21:O22"/>
    <mergeCell ref="J23:K24"/>
    <mergeCell ref="L23:M24"/>
    <mergeCell ref="N23:O24"/>
    <mergeCell ref="L19:M20"/>
    <mergeCell ref="N19:O20"/>
    <mergeCell ref="J15:K16"/>
    <mergeCell ref="L15:M16"/>
    <mergeCell ref="N15:O16"/>
    <mergeCell ref="J17:K18"/>
    <mergeCell ref="L17:M18"/>
    <mergeCell ref="V21:W22"/>
    <mergeCell ref="X21:Y22"/>
    <mergeCell ref="Z21:AA22"/>
    <mergeCell ref="V23:W24"/>
    <mergeCell ref="X23:Y24"/>
    <mergeCell ref="Z23:AA24"/>
    <mergeCell ref="P25:Q26"/>
    <mergeCell ref="R25:S26"/>
    <mergeCell ref="T25:U26"/>
    <mergeCell ref="P21:Q22"/>
    <mergeCell ref="R21:S22"/>
    <mergeCell ref="T21:U22"/>
    <mergeCell ref="P23:Q24"/>
    <mergeCell ref="R23:S24"/>
    <mergeCell ref="T23:U24"/>
    <mergeCell ref="X31:Y32"/>
    <mergeCell ref="Z31:AA32"/>
    <mergeCell ref="V27:W28"/>
    <mergeCell ref="X27:Y28"/>
    <mergeCell ref="Z27:AA28"/>
    <mergeCell ref="V29:W30"/>
    <mergeCell ref="X29:Y30"/>
    <mergeCell ref="Z29:AA30"/>
    <mergeCell ref="V25:W26"/>
    <mergeCell ref="X25:Y26"/>
    <mergeCell ref="Z25:AA26"/>
    <mergeCell ref="L27:M28"/>
    <mergeCell ref="N27:O28"/>
    <mergeCell ref="J29:K30"/>
    <mergeCell ref="L29:M30"/>
    <mergeCell ref="N29:O30"/>
    <mergeCell ref="V37:W38"/>
    <mergeCell ref="X37:Y38"/>
    <mergeCell ref="Z37:AA38"/>
    <mergeCell ref="V33:W34"/>
    <mergeCell ref="X33:Y34"/>
    <mergeCell ref="Z33:AA34"/>
    <mergeCell ref="V35:W36"/>
    <mergeCell ref="X35:Y36"/>
    <mergeCell ref="Z35:AA36"/>
    <mergeCell ref="P31:Q32"/>
    <mergeCell ref="R31:S32"/>
    <mergeCell ref="T31:U32"/>
    <mergeCell ref="P27:Q28"/>
    <mergeCell ref="R27:S28"/>
    <mergeCell ref="T27:U28"/>
    <mergeCell ref="P29:Q30"/>
    <mergeCell ref="R29:S30"/>
    <mergeCell ref="T29:U30"/>
    <mergeCell ref="V31:W32"/>
    <mergeCell ref="L9:M10"/>
    <mergeCell ref="B5:I7"/>
    <mergeCell ref="P37:Q38"/>
    <mergeCell ref="R37:S38"/>
    <mergeCell ref="T37:U38"/>
    <mergeCell ref="P33:Q34"/>
    <mergeCell ref="R33:S34"/>
    <mergeCell ref="T33:U34"/>
    <mergeCell ref="P35:Q36"/>
    <mergeCell ref="R35:S36"/>
    <mergeCell ref="T35:U36"/>
    <mergeCell ref="J37:K38"/>
    <mergeCell ref="L37:M38"/>
    <mergeCell ref="N37:O38"/>
    <mergeCell ref="J33:K34"/>
    <mergeCell ref="L33:M34"/>
    <mergeCell ref="N33:O34"/>
    <mergeCell ref="J35:K36"/>
    <mergeCell ref="L35:M36"/>
    <mergeCell ref="N35:O36"/>
    <mergeCell ref="J31:K32"/>
    <mergeCell ref="L31:M32"/>
    <mergeCell ref="N31:O32"/>
    <mergeCell ref="J27:K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3FD2E-2ED8-4186-A546-A408930E85B5}">
  <sheetPr>
    <tabColor rgb="FF002060"/>
  </sheetPr>
  <dimension ref="A1:X147"/>
  <sheetViews>
    <sheetView tabSelected="1" view="pageBreakPreview" zoomScale="71" zoomScaleNormal="100" zoomScaleSheetLayoutView="71" workbookViewId="0">
      <selection activeCell="C69" sqref="C69"/>
    </sheetView>
  </sheetViews>
  <sheetFormatPr baseColWidth="10" defaultRowHeight="15" x14ac:dyDescent="0.25"/>
  <cols>
    <col min="1" max="1" width="14" style="87" customWidth="1"/>
    <col min="2" max="2" width="23.42578125" style="85" customWidth="1"/>
    <col min="3" max="3" width="9.42578125" style="85" customWidth="1"/>
    <col min="4" max="4" width="9.7109375" customWidth="1"/>
    <col min="5" max="5" width="30.140625" customWidth="1"/>
    <col min="6" max="7" width="14.7109375" customWidth="1"/>
    <col min="8" max="12" width="6.5703125" customWidth="1"/>
    <col min="13" max="13" width="6.28515625" customWidth="1"/>
    <col min="14" max="14" width="6.5703125" style="86" customWidth="1"/>
    <col min="15" max="15" width="8.28515625" hidden="1" customWidth="1"/>
    <col min="16" max="16" width="6.5703125" customWidth="1"/>
    <col min="17" max="17" width="6.5703125" hidden="1" customWidth="1"/>
    <col min="18" max="18" width="7" customWidth="1"/>
    <col min="19" max="19" width="6.5703125" customWidth="1"/>
    <col min="20" max="20" width="7.7109375" customWidth="1"/>
    <col min="24" max="24" width="15.7109375" customWidth="1"/>
  </cols>
  <sheetData>
    <row r="1" spans="1:24" s="1" customFormat="1" ht="42" customHeight="1" x14ac:dyDescent="0.3">
      <c r="A1" s="354"/>
      <c r="B1" s="357" t="s">
        <v>191</v>
      </c>
      <c r="C1" s="357"/>
      <c r="D1" s="357"/>
      <c r="E1" s="357"/>
      <c r="F1" s="357"/>
      <c r="G1" s="357"/>
      <c r="H1" s="357"/>
      <c r="I1" s="357"/>
      <c r="J1" s="357"/>
      <c r="K1" s="357"/>
      <c r="L1" s="357"/>
      <c r="M1" s="357"/>
      <c r="N1" s="357"/>
      <c r="O1" s="357"/>
      <c r="P1" s="357"/>
      <c r="Q1" s="357"/>
      <c r="R1" s="358"/>
      <c r="S1" s="361" t="s">
        <v>230</v>
      </c>
      <c r="T1" s="362"/>
    </row>
    <row r="2" spans="1:24" s="1" customFormat="1" ht="39.75" customHeight="1" x14ac:dyDescent="0.3">
      <c r="A2" s="354"/>
      <c r="B2" s="359" t="s">
        <v>192</v>
      </c>
      <c r="C2" s="359"/>
      <c r="D2" s="359"/>
      <c r="E2" s="359"/>
      <c r="F2" s="359"/>
      <c r="G2" s="359"/>
      <c r="H2" s="359"/>
      <c r="I2" s="359"/>
      <c r="J2" s="359"/>
      <c r="K2" s="359"/>
      <c r="L2" s="359"/>
      <c r="M2" s="359"/>
      <c r="N2" s="359"/>
      <c r="O2" s="359"/>
      <c r="P2" s="359"/>
      <c r="Q2" s="359"/>
      <c r="R2" s="359"/>
      <c r="S2" s="363"/>
      <c r="T2" s="364"/>
    </row>
    <row r="3" spans="1:24" s="1" customFormat="1" ht="1.5" customHeight="1" x14ac:dyDescent="0.3">
      <c r="A3" s="89"/>
      <c r="B3" s="89"/>
      <c r="C3" s="89"/>
      <c r="D3" s="80"/>
      <c r="E3" s="80"/>
      <c r="F3" s="80"/>
      <c r="G3" s="80"/>
      <c r="H3" s="80"/>
      <c r="I3" s="80"/>
      <c r="J3" s="80"/>
      <c r="K3" s="80"/>
      <c r="L3" s="80"/>
      <c r="M3" s="80"/>
      <c r="N3" s="80"/>
      <c r="O3" s="80"/>
      <c r="P3" s="80"/>
      <c r="Q3" s="80"/>
      <c r="R3" s="80"/>
      <c r="S3" s="88"/>
      <c r="T3" s="88"/>
    </row>
    <row r="4" spans="1:24" s="1" customFormat="1" ht="1.5" customHeight="1" x14ac:dyDescent="0.3">
      <c r="A4" s="89"/>
      <c r="B4" s="89"/>
      <c r="C4" s="89"/>
      <c r="D4" s="80"/>
      <c r="E4" s="80"/>
      <c r="F4" s="80"/>
      <c r="G4" s="80"/>
      <c r="H4" s="80"/>
      <c r="I4" s="80"/>
      <c r="J4" s="80"/>
      <c r="K4" s="80"/>
      <c r="L4" s="80"/>
      <c r="M4" s="80"/>
      <c r="N4" s="80"/>
      <c r="O4" s="80"/>
      <c r="P4" s="80"/>
      <c r="Q4" s="80"/>
      <c r="R4" s="80"/>
      <c r="S4" s="88"/>
      <c r="T4" s="88"/>
    </row>
    <row r="5" spans="1:24" s="1" customFormat="1" ht="1.5" customHeight="1" x14ac:dyDescent="0.3">
      <c r="A5" s="89"/>
      <c r="B5" s="89"/>
      <c r="C5" s="89"/>
      <c r="D5" s="80"/>
      <c r="E5" s="80"/>
      <c r="F5" s="80"/>
      <c r="G5" s="80"/>
      <c r="H5" s="80"/>
      <c r="I5" s="80"/>
      <c r="J5" s="80"/>
      <c r="K5" s="80"/>
      <c r="L5" s="80"/>
      <c r="M5" s="80"/>
      <c r="N5" s="80"/>
      <c r="O5" s="80"/>
      <c r="P5" s="80"/>
      <c r="Q5" s="80"/>
      <c r="R5" s="80"/>
      <c r="S5" s="88"/>
      <c r="T5" s="88"/>
    </row>
    <row r="6" spans="1:24" ht="1.5" customHeight="1" thickBot="1" x14ac:dyDescent="0.3">
      <c r="A6" s="85"/>
      <c r="D6" s="85"/>
      <c r="E6" s="85"/>
      <c r="F6" s="85"/>
      <c r="G6" s="85"/>
      <c r="H6" s="85"/>
      <c r="I6" s="85"/>
      <c r="J6" s="85"/>
      <c r="K6" s="85"/>
      <c r="L6" s="85"/>
      <c r="M6" s="85"/>
      <c r="N6" s="85"/>
      <c r="O6" s="85"/>
      <c r="P6" s="85"/>
      <c r="Q6" s="85"/>
      <c r="R6" s="85"/>
      <c r="S6" s="85"/>
      <c r="T6" s="85"/>
    </row>
    <row r="7" spans="1:24" ht="16.5" customHeight="1" thickBot="1" x14ac:dyDescent="0.3">
      <c r="A7" s="352" t="s">
        <v>223</v>
      </c>
      <c r="B7" s="352" t="s">
        <v>225</v>
      </c>
      <c r="C7" s="352" t="s">
        <v>226</v>
      </c>
      <c r="D7" s="356" t="s">
        <v>206</v>
      </c>
      <c r="E7" s="356"/>
      <c r="F7" s="356"/>
      <c r="G7" s="356"/>
      <c r="H7" s="356"/>
      <c r="I7" s="356"/>
      <c r="J7" s="356"/>
      <c r="K7" s="356"/>
      <c r="L7" s="356"/>
      <c r="M7" s="356"/>
      <c r="N7" s="356"/>
      <c r="O7" s="356" t="s">
        <v>207</v>
      </c>
      <c r="P7" s="356"/>
      <c r="Q7" s="356"/>
      <c r="R7" s="356"/>
      <c r="S7" s="356"/>
      <c r="T7" s="356"/>
    </row>
    <row r="8" spans="1:24" ht="14.45" customHeight="1" thickBot="1" x14ac:dyDescent="0.3">
      <c r="A8" s="352"/>
      <c r="B8" s="352"/>
      <c r="C8" s="352"/>
      <c r="D8" s="352" t="s">
        <v>224</v>
      </c>
      <c r="E8" s="352" t="s">
        <v>147</v>
      </c>
      <c r="F8" s="352" t="s">
        <v>221</v>
      </c>
      <c r="G8" s="352" t="s">
        <v>222</v>
      </c>
      <c r="H8" s="352" t="s">
        <v>8</v>
      </c>
      <c r="I8" s="352"/>
      <c r="J8" s="352"/>
      <c r="K8" s="352"/>
      <c r="L8" s="352"/>
      <c r="M8" s="352"/>
      <c r="N8" s="355" t="s">
        <v>204</v>
      </c>
      <c r="O8" s="353" t="s">
        <v>126</v>
      </c>
      <c r="P8" s="355" t="s">
        <v>208</v>
      </c>
      <c r="Q8" s="360" t="s">
        <v>205</v>
      </c>
      <c r="R8" s="355" t="s">
        <v>209</v>
      </c>
      <c r="S8" s="355" t="s">
        <v>40</v>
      </c>
      <c r="T8" s="355" t="s">
        <v>27</v>
      </c>
    </row>
    <row r="9" spans="1:24" ht="97.5" customHeight="1" thickBot="1" x14ac:dyDescent="0.3">
      <c r="A9" s="352"/>
      <c r="B9" s="352"/>
      <c r="C9" s="352"/>
      <c r="D9" s="352"/>
      <c r="E9" s="352"/>
      <c r="F9" s="352"/>
      <c r="G9" s="352"/>
      <c r="H9" s="115" t="s">
        <v>12</v>
      </c>
      <c r="I9" s="115" t="s">
        <v>16</v>
      </c>
      <c r="J9" s="115" t="s">
        <v>17</v>
      </c>
      <c r="K9" s="115" t="s">
        <v>20</v>
      </c>
      <c r="L9" s="115" t="s">
        <v>23</v>
      </c>
      <c r="M9" s="116" t="s">
        <v>210</v>
      </c>
      <c r="N9" s="355"/>
      <c r="O9" s="353"/>
      <c r="P9" s="355"/>
      <c r="Q9" s="360"/>
      <c r="R9" s="355"/>
      <c r="S9" s="355"/>
      <c r="T9" s="355"/>
    </row>
    <row r="10" spans="1:24" ht="324" customHeight="1" x14ac:dyDescent="0.25">
      <c r="A10" s="96">
        <v>1</v>
      </c>
      <c r="B10" s="97" t="str">
        <f>IF(A10="","",VLOOKUP(A10,'Mapa inherente'!$A$10:$E$38,5,FALSE))</f>
        <v>TALENTO HUMANO. Posibilidad de afectación reputacional o económica por queja o reclamo de los funcionarios públicos docentes y no docentes o denuncias, debido al tráfico de influencia, Amiguismo, clientelismo y/o soborno, ocasionado por la liquidación intencional de un pago laboral no debido a un servidor público o tercero en los procesos de nómina.</v>
      </c>
      <c r="C10" s="98" t="str">
        <f>IF(A10="","",VLOOKUP(A10,'Mapa inherente'!$A$10:$N$38,14,FALSE))</f>
        <v>Moderado</v>
      </c>
      <c r="D10" s="99">
        <f>IF(B10="","",1)</f>
        <v>1</v>
      </c>
      <c r="E10" s="104" t="s">
        <v>238</v>
      </c>
      <c r="F10" s="104" t="s">
        <v>213</v>
      </c>
      <c r="G10" s="104" t="s">
        <v>239</v>
      </c>
      <c r="H10" s="105" t="s">
        <v>14</v>
      </c>
      <c r="I10" s="105" t="s">
        <v>9</v>
      </c>
      <c r="J10" s="105" t="s">
        <v>18</v>
      </c>
      <c r="K10" s="105" t="s">
        <v>21</v>
      </c>
      <c r="L10" s="105" t="s">
        <v>109</v>
      </c>
      <c r="M10" s="92" t="s">
        <v>240</v>
      </c>
      <c r="N10" s="93" t="s">
        <v>4</v>
      </c>
      <c r="O10" s="90">
        <f>IF(A10="","",IF(D10=1,IFERROR(IF(N10="Probabilidad",(VLOOKUP(A10,'Mapa inherente'!$A$10:$M$38,9,FALSE)-(VLOOKUP(A10,'Mapa inherente'!$A$10:$M$38,9,FALSE)*M10)),IF(N10="Impacto",VLOOKUP(A10,'Mapa inherente'!$A$10:$M$38,9,FALSE),"")),""),
IFERROR(IF(N10="Probabilidad",(O9-(O9)*M10),O9),"")))</f>
        <v>0.28000000000000003</v>
      </c>
      <c r="P10" s="91" t="str">
        <f>IFERROR(IF(O10="","",IF(O10&lt;=0.2,"Muy Baja",IF(O10&lt;=0.4,"Baja",IF(O10&lt;=0.6,"Media",IF(O10&lt;=0.8,"Alta","Muy Alta"))))),"")</f>
        <v>Baja</v>
      </c>
      <c r="Q10" s="90">
        <f>IF(A10="","",IF(D10=1,IFERROR(IF(N10="Impacto",(VLOOKUP(A10,'Mapa inherente'!$A$10:$M$38,13,FALSE)-(VLOOKUP(A10,'Mapa inherente'!$A$10:$M$38,13,FALSE)*M10)),IF(N10="Probabilidad",VLOOKUP(A10,'Mapa inherente'!$A$10:$M$38,13,FALSE),"")),""),
                   IFERROR(IF(N10="Impacto",(Q9-(Q9)*M10),Q9),"")))</f>
        <v>0.4</v>
      </c>
      <c r="R10" s="91" t="str">
        <f>IFERROR(IF(Q10="","",IF(Q10&lt;=0.2,"Leve",IF(Q10&lt;=0.4,"Menor",IF(Q10&lt;=0.6,"Moderado",IF(Q10&lt;=0.8,"Mayor","Catastrófico"))))),"")</f>
        <v>Menor</v>
      </c>
      <c r="S10" s="91" t="str">
        <f>IFERROR(IF(OR(AND(P10="Muy Baja",R10="Leve"),AND(P10="Muy Baja",R10="Menor"),AND(P10="Baja",R10="Leve")),"Bajo",IF(OR(AND(P10="Muy baja",R10="Moderado"),AND(P10="Baja",R10="Menor"),AND(P10="Baja",R10="Moderado"),AND(P10="Media",R10="Leve"),AND(P10="Media",R10="Menor"),AND(P10="Media",R10="Moderado"),AND(P10="Alta",R10="Leve"),AND(P10="Alta",R10="Menor")),"Moderado",IF(OR(AND(P10="Muy Baja",R10="Mayor"),AND(P10="Baja",R10="Mayor"),AND(P10="Media",R10="Mayor"),AND(P10="Alta",R10="Moderado"),AND(P10="Alta",R10="Mayor"),AND(P10="Muy Alta",R10="Leve"),AND(P10="Muy Alta",R10="Menor"),AND(P10="Muy Alta",R10="Moderado"),AND(P10="Muy Alta",R10="Mayor")),"Alto",IF(OR(AND(P10="Muy Baja",R10="Catastrófico"),AND(P10="Baja",R10="Catastrófico"),AND(P10="Media",R10="Catastrófico"),AND(P10="Alta",R10="Catastrófico"),AND(P10="Muy Alta",R10="Catastrófico")),"Extremo","")))),"")</f>
        <v>Moderado</v>
      </c>
      <c r="T10" s="106" t="s">
        <v>124</v>
      </c>
      <c r="X10" s="85"/>
    </row>
    <row r="11" spans="1:24" ht="303.75" customHeight="1" x14ac:dyDescent="0.25">
      <c r="A11" s="100">
        <v>1</v>
      </c>
      <c r="B11" s="101" t="str">
        <f>IF(A11="","",VLOOKUP(A11,'Mapa inherente'!$A$10:$E$38,5,FALSE))</f>
        <v>TALENTO HUMANO. Posibilidad de afectación reputacional o económica por queja o reclamo de los funcionarios públicos docentes y no docentes o denuncias, debido al tráfico de influencia, Amiguismo, clientelismo y/o soborno, ocasionado por la liquidación intencional de un pago laboral no debido a un servidor público o tercero en los procesos de nómina.</v>
      </c>
      <c r="C11" s="102" t="str">
        <f>IF(A11="","",VLOOKUP(A11,'Mapa inherente'!$A$10:$N$38,14,FALSE))</f>
        <v>Moderado</v>
      </c>
      <c r="D11" s="103">
        <f>IF(B11="","",IF(B11=B10,D10+1,1))</f>
        <v>2</v>
      </c>
      <c r="E11" s="104" t="s">
        <v>241</v>
      </c>
      <c r="F11" s="104" t="s">
        <v>213</v>
      </c>
      <c r="G11" s="104" t="s">
        <v>242</v>
      </c>
      <c r="H11" s="105" t="s">
        <v>15</v>
      </c>
      <c r="I11" s="105" t="s">
        <v>10</v>
      </c>
      <c r="J11" s="105" t="s">
        <v>18</v>
      </c>
      <c r="K11" s="105" t="s">
        <v>21</v>
      </c>
      <c r="L11" s="105" t="s">
        <v>109</v>
      </c>
      <c r="M11" s="92" t="s">
        <v>243</v>
      </c>
      <c r="N11" s="93" t="s">
        <v>2</v>
      </c>
      <c r="O11" s="94">
        <f>IF(A11="","",IF(D11=1,IFERROR(IF(N11="Probabilidad",(VLOOKUP(A11,'Mapa inherente'!$A$10:$M$38,9,FALSE)-(VLOOKUP(A11,'Mapa inherente'!$A$10:$M$38,9,FALSE)*M11)),IF(N11="Impacto",VLOOKUP(A11,'Mapa inherente'!$A$10:$M$38,9,FALSE),"")),""),
IFERROR(IF(N11="Probabilidad",(O10-(O10)*M11),O10),"")))</f>
        <v>0.28000000000000003</v>
      </c>
      <c r="P11" s="95" t="str">
        <f t="shared" ref="P11:P45" si="0">IFERROR(IF(O11="","",IF(O11&lt;=0.2,"Muy Baja",IF(O11&lt;=0.4,"Baja",IF(O11&lt;=0.6,"Media",IF(O11&lt;=0.8,"Alta","Muy Alta"))))),"")</f>
        <v>Baja</v>
      </c>
      <c r="Q11" s="94">
        <f>IF(A11="","",IF(D11=1,IFERROR(IF(N11="Impacto",(VLOOKUP(A11,'Mapa inherente'!$A$10:$M$38,13,FALSE)-(VLOOKUP(A11,'Mapa inherente'!$A$10:$M$38,13,FALSE)*M11)),IF(N11="Probabilidad",VLOOKUP(A11,'Mapa inherente'!$A$10:$M$38,13,FALSE),"")),""),
                   IFERROR(IF(N11="Impacto",(Q10-(Q10)*M11),Q10),"")))</f>
        <v>0.26</v>
      </c>
      <c r="R11" s="95" t="str">
        <f t="shared" ref="R11:R45" si="1">IFERROR(IF(Q11="","",IF(Q11&lt;=0.2,"Leve",IF(Q11&lt;=0.4,"Menor",IF(Q11&lt;=0.6,"Moderado",IF(Q11&lt;=0.8,"Mayor","Catastrófico"))))),"")</f>
        <v>Menor</v>
      </c>
      <c r="S11" s="95" t="str">
        <f t="shared" ref="S11:S45" si="2">IFERROR(IF(OR(AND(P11="Muy Baja",R11="Leve"),AND(P11="Muy Baja",R11="Menor"),AND(P11="Baja",R11="Leve")),"Bajo",IF(OR(AND(P11="Muy baja",R11="Moderado"),AND(P11="Baja",R11="Menor"),AND(P11="Baja",R11="Moderado"),AND(P11="Media",R11="Leve"),AND(P11="Media",R11="Menor"),AND(P11="Media",R11="Moderado"),AND(P11="Alta",R11="Leve"),AND(P11="Alta",R11="Menor")),"Moderado",IF(OR(AND(P11="Muy Baja",R11="Mayor"),AND(P11="Baja",R11="Mayor"),AND(P11="Media",R11="Mayor"),AND(P11="Alta",R11="Moderado"),AND(P11="Alta",R11="Mayor"),AND(P11="Muy Alta",R11="Leve"),AND(P11="Muy Alta",R11="Menor"),AND(P11="Muy Alta",R11="Moderado"),AND(P11="Muy Alta",R11="Mayor")),"Alto",IF(OR(AND(P11="Muy Baja",R11="Catastrófico"),AND(P11="Baja",R11="Catastrófico"),AND(P11="Media",R11="Catastrófico"),AND(P11="Alta",R11="Catastrófico"),AND(P11="Muy Alta",R11="Catastrófico")),"Extremo","")))),"")</f>
        <v>Moderado</v>
      </c>
      <c r="T11" s="106" t="s">
        <v>29</v>
      </c>
    </row>
    <row r="12" spans="1:24" ht="409.5" x14ac:dyDescent="0.25">
      <c r="A12" s="100">
        <v>2</v>
      </c>
      <c r="B12" s="101" t="str">
        <f>IF(A12="","",VLOOKUP(A12,'Mapa inherente'!$A$10:$E$38,5,FALSE))</f>
        <v xml:space="preserve">TALENTO HUMANO.Posibilidad de afectación reputacional por el uso inadecuado e indebido de información sensible manejada por el proceso para favorecer intereses de terceros, debido a al suministro de información a funcionarios internos sin la debida justificación del porque es requerida y/o entrega a personas externas a la institución sin autorización. </v>
      </c>
      <c r="C12" s="102" t="str">
        <f>IF(A12="","",VLOOKUP(A12,'Mapa inherente'!$A$10:$N$38,14,FALSE))</f>
        <v>Moderado</v>
      </c>
      <c r="D12" s="103">
        <f t="shared" ref="D12:D45" si="3">IF(B12="","",IF(B12=B11,D11+1,1))</f>
        <v>1</v>
      </c>
      <c r="E12" s="104" t="s">
        <v>244</v>
      </c>
      <c r="F12" s="104" t="s">
        <v>213</v>
      </c>
      <c r="G12" s="104" t="s">
        <v>245</v>
      </c>
      <c r="H12" s="105" t="s">
        <v>13</v>
      </c>
      <c r="I12" s="105" t="s">
        <v>9</v>
      </c>
      <c r="J12" s="105" t="s">
        <v>19</v>
      </c>
      <c r="K12" s="105" t="s">
        <v>21</v>
      </c>
      <c r="L12" s="105" t="s">
        <v>109</v>
      </c>
      <c r="M12" s="92" t="s">
        <v>246</v>
      </c>
      <c r="N12" s="93" t="s">
        <v>4</v>
      </c>
      <c r="O12" s="94">
        <f>IF(A12="","",IF(D12=1,IFERROR(IF(N12="Probabilidad",(VLOOKUP(A12,'Mapa inherente'!$A$10:$M$38,9,FALSE)-(VLOOKUP(A12,'Mapa inherente'!$A$10:$M$38,9,FALSE)*M12)),IF(N12="Impacto",VLOOKUP(A12,'Mapa inherente'!$A$10:$M$38,9,FALSE),"")),""),
IFERROR(IF(N12="Probabilidad",(O11-(O11)*M12),O11),"")))</f>
        <v>0.24</v>
      </c>
      <c r="P12" s="95" t="str">
        <f t="shared" si="0"/>
        <v>Baja</v>
      </c>
      <c r="Q12" s="94">
        <f>IF(A12="","",IF(D12=1,IFERROR(IF(N12="Impacto",(VLOOKUP(A12,'Mapa inherente'!$A$10:$M$38,13,FALSE)-(VLOOKUP(A12,'Mapa inherente'!$A$10:$M$38,13,FALSE)*M12)),IF(N12="Probabilidad",VLOOKUP(A12,'Mapa inherente'!$A$10:$M$38,13,FALSE),"")),""),
                   IFERROR(IF(N12="Impacto",(Q11-(Q11)*M12),Q11),"")))</f>
        <v>0.6</v>
      </c>
      <c r="R12" s="95" t="str">
        <f t="shared" si="1"/>
        <v>Moderado</v>
      </c>
      <c r="S12" s="95" t="str">
        <f t="shared" si="2"/>
        <v>Moderado</v>
      </c>
      <c r="T12" s="106" t="s">
        <v>124</v>
      </c>
    </row>
    <row r="13" spans="1:24" ht="409.5" x14ac:dyDescent="0.25">
      <c r="A13" s="100">
        <v>2</v>
      </c>
      <c r="B13" s="101" t="str">
        <f>IF(A13="","",VLOOKUP(A13,'Mapa inherente'!$A$10:$E$38,5,FALSE))</f>
        <v xml:space="preserve">TALENTO HUMANO.Posibilidad de afectación reputacional por el uso inadecuado e indebido de información sensible manejada por el proceso para favorecer intereses de terceros, debido a al suministro de información a funcionarios internos sin la debida justificación del porque es requerida y/o entrega a personas externas a la institución sin autorización. </v>
      </c>
      <c r="C13" s="102" t="str">
        <f>IF(A13="","",VLOOKUP(A13,'Mapa inherente'!$A$10:$N$38,14,FALSE))</f>
        <v>Moderado</v>
      </c>
      <c r="D13" s="103">
        <f t="shared" si="3"/>
        <v>2</v>
      </c>
      <c r="E13" s="104" t="s">
        <v>247</v>
      </c>
      <c r="F13" s="104" t="s">
        <v>213</v>
      </c>
      <c r="G13" s="104" t="s">
        <v>248</v>
      </c>
      <c r="H13" s="105" t="s">
        <v>13</v>
      </c>
      <c r="I13" s="105" t="s">
        <v>9</v>
      </c>
      <c r="J13" s="105" t="s">
        <v>19</v>
      </c>
      <c r="K13" s="105" t="s">
        <v>21</v>
      </c>
      <c r="L13" s="105" t="s">
        <v>109</v>
      </c>
      <c r="M13" s="92" t="s">
        <v>246</v>
      </c>
      <c r="N13" s="93" t="s">
        <v>4</v>
      </c>
      <c r="O13" s="94">
        <f>IF(A13="","",IF(D13=1,IFERROR(IF(N13="Probabilidad",(VLOOKUP(A13,'Mapa inherente'!$A$10:$M$38,9,FALSE)-(VLOOKUP(A13,'Mapa inherente'!$A$10:$M$38,9,FALSE)*M13)),IF(N13="Impacto",VLOOKUP(A13,'Mapa inherente'!$A$10:$M$38,9,FALSE),"")),""),
IFERROR(IF(N13="Probabilidad",(O12-(O12)*M13),O12),"")))</f>
        <v>0.14399999999999999</v>
      </c>
      <c r="P13" s="95" t="str">
        <f t="shared" si="0"/>
        <v>Muy Baja</v>
      </c>
      <c r="Q13" s="94">
        <f>IF(A13="","",IF(D13=1,IFERROR(IF(N13="Impacto",(VLOOKUP(A13,'Mapa inherente'!$A$10:$M$38,13,FALSE)-(VLOOKUP(A13,'Mapa inherente'!$A$10:$M$38,13,FALSE)*M13)),IF(N13="Probabilidad",VLOOKUP(A13,'Mapa inherente'!$A$10:$M$38,13,FALSE),"")),""),
                   IFERROR(IF(N13="Impacto",(Q12-(Q12)*M13),Q12),"")))</f>
        <v>0.6</v>
      </c>
      <c r="R13" s="95" t="str">
        <f t="shared" si="1"/>
        <v>Moderado</v>
      </c>
      <c r="S13" s="95" t="str">
        <f t="shared" si="2"/>
        <v>Moderado</v>
      </c>
      <c r="T13" s="106" t="s">
        <v>29</v>
      </c>
    </row>
    <row r="14" spans="1:24" ht="409.5" x14ac:dyDescent="0.25">
      <c r="A14" s="100">
        <v>3</v>
      </c>
      <c r="B14" s="101" t="str">
        <f>IF(A14="","",VLOOKUP(A14,'Mapa inherente'!$A$10:$E$38,5,FALSE))</f>
        <v>TALENTO HUMANO.Posibilidad de afectación reputacional o económica por queja o reclamo de los funcionarios públicos docentes y no docentes o denuncias, debido al tráfico de influencia, amiguismo, clientelismo y/o soborno, ocasionado por el uso de la información que reposa en las historias laborales, bases de datos y software kactus, con fines diferentes a los institucionales para el beneficio personal o de terceros.</v>
      </c>
      <c r="C14" s="102" t="str">
        <f>IF(A14="","",VLOOKUP(A14,'Mapa inherente'!$A$10:$N$38,14,FALSE))</f>
        <v>Moderado</v>
      </c>
      <c r="D14" s="103">
        <f t="shared" si="3"/>
        <v>1</v>
      </c>
      <c r="E14" s="104" t="s">
        <v>249</v>
      </c>
      <c r="F14" s="104" t="s">
        <v>212</v>
      </c>
      <c r="G14" s="104" t="s">
        <v>250</v>
      </c>
      <c r="H14" s="105" t="s">
        <v>13</v>
      </c>
      <c r="I14" s="105" t="s">
        <v>9</v>
      </c>
      <c r="J14" s="105" t="s">
        <v>18</v>
      </c>
      <c r="K14" s="105" t="s">
        <v>21</v>
      </c>
      <c r="L14" s="105" t="s">
        <v>109</v>
      </c>
      <c r="M14" s="92" t="s">
        <v>246</v>
      </c>
      <c r="N14" s="93" t="s">
        <v>4</v>
      </c>
      <c r="O14" s="94">
        <f>IF(A14="","",IF(D14=1,IFERROR(IF(N14="Probabilidad",(VLOOKUP(A14,'Mapa inherente'!$A$10:$M$38,9,FALSE)-(VLOOKUP(A14,'Mapa inherente'!$A$10:$M$38,9,FALSE)*M14)),IF(N14="Impacto",VLOOKUP(A14,'Mapa inherente'!$A$10:$M$38,9,FALSE),"")),""),
IFERROR(IF(N14="Probabilidad",(O13-(O13)*M14),O13),"")))</f>
        <v>0.36</v>
      </c>
      <c r="P14" s="95" t="str">
        <f t="shared" si="0"/>
        <v>Baja</v>
      </c>
      <c r="Q14" s="94">
        <f>IF(A14="","",IF(D14=1,IFERROR(IF(N14="Impacto",(VLOOKUP(A14,'Mapa inherente'!$A$10:$M$38,13,FALSE)-(VLOOKUP(A14,'Mapa inherente'!$A$10:$M$38,13,FALSE)*M14)),IF(N14="Probabilidad",VLOOKUP(A14,'Mapa inherente'!$A$10:$M$38,13,FALSE),"")),""),
                   IFERROR(IF(N14="Impacto",(Q13-(Q13)*M14),Q13),"")))</f>
        <v>0.4</v>
      </c>
      <c r="R14" s="95" t="str">
        <f t="shared" si="1"/>
        <v>Menor</v>
      </c>
      <c r="S14" s="95" t="str">
        <f t="shared" si="2"/>
        <v>Moderado</v>
      </c>
      <c r="T14" s="106" t="s">
        <v>124</v>
      </c>
    </row>
    <row r="15" spans="1:24" ht="409.5" x14ac:dyDescent="0.25">
      <c r="A15" s="100">
        <v>3</v>
      </c>
      <c r="B15" s="101" t="str">
        <f>IF(A15="","",VLOOKUP(A15,'Mapa inherente'!$A$10:$E$38,5,FALSE))</f>
        <v>TALENTO HUMANO.Posibilidad de afectación reputacional o económica por queja o reclamo de los funcionarios públicos docentes y no docentes o denuncias, debido al tráfico de influencia, amiguismo, clientelismo y/o soborno, ocasionado por el uso de la información que reposa en las historias laborales, bases de datos y software kactus, con fines diferentes a los institucionales para el beneficio personal o de terceros.</v>
      </c>
      <c r="C15" s="102" t="str">
        <f>IF(A15="","",VLOOKUP(A15,'Mapa inherente'!$A$10:$N$38,14,FALSE))</f>
        <v>Moderado</v>
      </c>
      <c r="D15" s="103">
        <f t="shared" si="3"/>
        <v>2</v>
      </c>
      <c r="E15" s="104" t="s">
        <v>244</v>
      </c>
      <c r="F15" s="104" t="s">
        <v>213</v>
      </c>
      <c r="G15" s="104" t="s">
        <v>245</v>
      </c>
      <c r="H15" s="105" t="s">
        <v>13</v>
      </c>
      <c r="I15" s="105" t="s">
        <v>9</v>
      </c>
      <c r="J15" s="105" t="s">
        <v>19</v>
      </c>
      <c r="K15" s="105" t="s">
        <v>21</v>
      </c>
      <c r="L15" s="105" t="s">
        <v>109</v>
      </c>
      <c r="M15" s="92" t="s">
        <v>246</v>
      </c>
      <c r="N15" s="93" t="s">
        <v>4</v>
      </c>
      <c r="O15" s="94">
        <f>IF(A15="","",IF(D15=1,IFERROR(IF(N15="Probabilidad",(VLOOKUP(A15,'Mapa inherente'!$A$10:$M$38,9,FALSE)-(VLOOKUP(A15,'Mapa inherente'!$A$10:$M$38,9,FALSE)*M15)),IF(N15="Impacto",VLOOKUP(A15,'Mapa inherente'!$A$10:$M$38,9,FALSE),"")),""),
IFERROR(IF(N15="Probabilidad",(O14-(O14)*M15),O14),"")))</f>
        <v>0.216</v>
      </c>
      <c r="P15" s="95" t="str">
        <f t="shared" si="0"/>
        <v>Baja</v>
      </c>
      <c r="Q15" s="94">
        <f>IF(A15="","",IF(D15=1,IFERROR(IF(N15="Impacto",(VLOOKUP(A15,'Mapa inherente'!$A$10:$M$38,13,FALSE)-(VLOOKUP(A15,'Mapa inherente'!$A$10:$M$38,13,FALSE)*M15)),IF(N15="Probabilidad",VLOOKUP(A15,'Mapa inherente'!$A$10:$M$38,13,FALSE),"")),""),
                   IFERROR(IF(N15="Impacto",(Q14-(Q14)*M15),Q14),"")))</f>
        <v>0.4</v>
      </c>
      <c r="R15" s="95" t="str">
        <f t="shared" si="1"/>
        <v>Menor</v>
      </c>
      <c r="S15" s="95" t="str">
        <f t="shared" si="2"/>
        <v>Moderado</v>
      </c>
      <c r="T15" s="106" t="s">
        <v>29</v>
      </c>
    </row>
    <row r="16" spans="1:24" ht="378" x14ac:dyDescent="0.25">
      <c r="A16" s="100">
        <v>4</v>
      </c>
      <c r="B16" s="101" t="str">
        <f>IF(A16="","",VLOOKUP(A16,'Mapa inherente'!$A$10:$E$38,5,FALSE))</f>
        <v>REGISTROS Y ADMISIONES. Posibilidad de afectación reputacional por uso indebido o
modificación de la información académica contenida en los sistemas académicos de la Institución y/o en otros medios por falta de seguimiento al uso de los sistemas académicos y demás información académica, asi como tambien por no definir los roles autorizados para el manejo de los mismos.</v>
      </c>
      <c r="C16" s="102" t="str">
        <f>IF(A16="","",VLOOKUP(A16,'Mapa inherente'!$A$10:$N$38,14,FALSE))</f>
        <v>Alto</v>
      </c>
      <c r="D16" s="103">
        <f t="shared" si="3"/>
        <v>1</v>
      </c>
      <c r="E16" s="121" t="s">
        <v>253</v>
      </c>
      <c r="F16" s="104" t="s">
        <v>214</v>
      </c>
      <c r="G16" s="104" t="s">
        <v>254</v>
      </c>
      <c r="H16" s="105" t="s">
        <v>13</v>
      </c>
      <c r="I16" s="105" t="s">
        <v>9</v>
      </c>
      <c r="J16" s="105" t="s">
        <v>18</v>
      </c>
      <c r="K16" s="105" t="s">
        <v>21</v>
      </c>
      <c r="L16" s="105" t="s">
        <v>109</v>
      </c>
      <c r="M16" s="92" t="str">
        <f t="shared" ref="M16:M19" si="4">IF(AND(H16="Preventivo",I16="Automático"),"50%",IF(AND(H16="Preventivo",I16="Manual"),"40%",IF(AND(H16="Detectivo",I16="Automático"),"40%",IF(AND(H16="Detectivo",I16="Manual"),"30%",IF(AND(H16="Correctivo",I16="Automático"),"35%",IF(AND(H16="Correctivo",I16="Manual"),"25%",""))))))</f>
        <v>40%</v>
      </c>
      <c r="N16" s="93" t="str">
        <f t="shared" ref="N16:N19" si="5">IF(OR(H16="Preventivo",H16="Detectivo"),"Probabilidad",IF(H16="Correctivo","Impacto",""))</f>
        <v>Probabilidad</v>
      </c>
      <c r="O16" s="94">
        <f>IF(A16="","",IF(D16=1,IFERROR(IF(N16="Probabilidad",(VLOOKUP(A16,'Mapa inherente'!$A$10:$M$38,9,FALSE)-(VLOOKUP(A16,'Mapa inherente'!$A$10:$M$38,9,FALSE)*M16)),IF(N16="Impacto",VLOOKUP(A16,'Mapa inherente'!$A$10:$M$38,9,FALSE),"")),""),
IFERROR(IF(N16="Probabilidad",(O15-(O15)*M16),O15),"")))</f>
        <v>0.12</v>
      </c>
      <c r="P16" s="95" t="str">
        <f t="shared" si="0"/>
        <v>Muy Baja</v>
      </c>
      <c r="Q16" s="94">
        <f>IF(A16="","",IF(D16=1,IFERROR(IF(N16="Impacto",(VLOOKUP(A16,'Mapa inherente'!$A$10:$M$38,13,FALSE)-(VLOOKUP(A16,'Mapa inherente'!$A$10:$M$38,13,FALSE)*M16)),IF(N16="Probabilidad",VLOOKUP(A16,'Mapa inherente'!$A$10:$M$38,13,FALSE),"")),""),
                   IFERROR(IF(N16="Impacto",(Q15-(Q15)*M16),Q15),"")))</f>
        <v>0.8</v>
      </c>
      <c r="R16" s="95" t="str">
        <f t="shared" si="1"/>
        <v>Mayor</v>
      </c>
      <c r="S16" s="95" t="str">
        <f t="shared" si="2"/>
        <v>Alto</v>
      </c>
      <c r="T16" s="106" t="s">
        <v>124</v>
      </c>
    </row>
    <row r="17" spans="1:20" ht="409.5" x14ac:dyDescent="0.25">
      <c r="A17" s="100">
        <v>4</v>
      </c>
      <c r="B17" s="101" t="str">
        <f>IF(A17="","",VLOOKUP(A17,'Mapa inherente'!$A$10:$E$38,5,FALSE))</f>
        <v>REGISTROS Y ADMISIONES. Posibilidad de afectación reputacional por uso indebido o
modificación de la información académica contenida en los sistemas académicos de la Institución y/o en otros medios por falta de seguimiento al uso de los sistemas académicos y demás información académica, asi como tambien por no definir los roles autorizados para el manejo de los mismos.</v>
      </c>
      <c r="C17" s="102" t="str">
        <f>IF(A17="","",VLOOKUP(A17,'Mapa inherente'!$A$10:$N$38,14,FALSE))</f>
        <v>Alto</v>
      </c>
      <c r="D17" s="103">
        <f t="shared" si="3"/>
        <v>2</v>
      </c>
      <c r="E17" s="121" t="s">
        <v>255</v>
      </c>
      <c r="F17" s="104" t="s">
        <v>214</v>
      </c>
      <c r="G17" s="104" t="s">
        <v>256</v>
      </c>
      <c r="H17" s="105" t="s">
        <v>13</v>
      </c>
      <c r="I17" s="105" t="s">
        <v>9</v>
      </c>
      <c r="J17" s="105" t="s">
        <v>18</v>
      </c>
      <c r="K17" s="105" t="s">
        <v>21</v>
      </c>
      <c r="L17" s="105" t="s">
        <v>109</v>
      </c>
      <c r="M17" s="92" t="str">
        <f t="shared" si="4"/>
        <v>40%</v>
      </c>
      <c r="N17" s="93" t="str">
        <f t="shared" si="5"/>
        <v>Probabilidad</v>
      </c>
      <c r="O17" s="94">
        <f>IF(A17="","",IF(D17=1,IFERROR(IF(N17="Probabilidad",(VLOOKUP(A17,'Mapa inherente'!$A$10:$M$38,9,FALSE)-(VLOOKUP(A17,'Mapa inherente'!$A$10:$M$38,9,FALSE)*M17)),IF(N17="Impacto",VLOOKUP(A17,'Mapa inherente'!$A$10:$M$38,9,FALSE),"")),""),
IFERROR(IF(N17="Probabilidad",(O16-(O16)*M17),O16),"")))</f>
        <v>7.1999999999999995E-2</v>
      </c>
      <c r="P17" s="95" t="str">
        <f t="shared" si="0"/>
        <v>Muy Baja</v>
      </c>
      <c r="Q17" s="94">
        <f>IF(A17="","",IF(D17=1,IFERROR(IF(N17="Impacto",(VLOOKUP(A17,'Mapa inherente'!$A$10:$M$38,13,FALSE)-(VLOOKUP(A17,'Mapa inherente'!$A$10:$M$38,13,FALSE)*M17)),IF(N17="Probabilidad",VLOOKUP(A17,'Mapa inherente'!$A$10:$M$38,13,FALSE),"")),""),
                   IFERROR(IF(N17="Impacto",(Q16-(Q16)*M17),Q16),"")))</f>
        <v>0.8</v>
      </c>
      <c r="R17" s="95" t="str">
        <f t="shared" si="1"/>
        <v>Mayor</v>
      </c>
      <c r="S17" s="95" t="str">
        <f t="shared" si="2"/>
        <v>Alto</v>
      </c>
      <c r="T17" s="106" t="s">
        <v>124</v>
      </c>
    </row>
    <row r="18" spans="1:20" ht="346.5" customHeight="1" x14ac:dyDescent="0.25">
      <c r="A18" s="100">
        <v>4</v>
      </c>
      <c r="B18" s="101" t="str">
        <f>IF(A18="","",VLOOKUP(A18,'Mapa inherente'!$A$10:$E$38,5,FALSE))</f>
        <v>REGISTROS Y ADMISIONES. Posibilidad de afectación reputacional por uso indebido o
modificación de la información académica contenida en los sistemas académicos de la Institución y/o en otros medios por falta de seguimiento al uso de los sistemas académicos y demás información académica, asi como tambien por no definir los roles autorizados para el manejo de los mismos.</v>
      </c>
      <c r="C18" s="102" t="str">
        <f>IF(A18="","",VLOOKUP(A18,'Mapa inherente'!$A$10:$N$38,14,FALSE))</f>
        <v>Alto</v>
      </c>
      <c r="D18" s="103">
        <f t="shared" si="3"/>
        <v>3</v>
      </c>
      <c r="E18" s="121" t="s">
        <v>257</v>
      </c>
      <c r="F18" s="104" t="s">
        <v>214</v>
      </c>
      <c r="G18" s="104" t="s">
        <v>258</v>
      </c>
      <c r="H18" s="105" t="s">
        <v>14</v>
      </c>
      <c r="I18" s="105" t="s">
        <v>9</v>
      </c>
      <c r="J18" s="105" t="s">
        <v>18</v>
      </c>
      <c r="K18" s="105" t="s">
        <v>21</v>
      </c>
      <c r="L18" s="105" t="s">
        <v>109</v>
      </c>
      <c r="M18" s="92" t="str">
        <f t="shared" si="4"/>
        <v>30%</v>
      </c>
      <c r="N18" s="93" t="str">
        <f t="shared" si="5"/>
        <v>Probabilidad</v>
      </c>
      <c r="O18" s="94">
        <f>IF(A18="","",IF(D18=1,IFERROR(IF(N18="Probabilidad",(VLOOKUP(A18,'Mapa inherente'!$A$10:$M$38,9,FALSE)-(VLOOKUP(A18,'Mapa inherente'!$A$10:$M$38,9,FALSE)*M18)),IF(N18="Impacto",VLOOKUP(A18,'Mapa inherente'!$A$10:$M$38,9,FALSE),"")),""),
IFERROR(IF(N18="Probabilidad",(O17-(O17)*M18),O17),"")))</f>
        <v>5.04E-2</v>
      </c>
      <c r="P18" s="95" t="str">
        <f t="shared" si="0"/>
        <v>Muy Baja</v>
      </c>
      <c r="Q18" s="94">
        <f>IF(A18="","",IF(D18=1,IFERROR(IF(N18="Impacto",(VLOOKUP(A18,'Mapa inherente'!$A$10:$M$38,13,FALSE)-(VLOOKUP(A18,'Mapa inherente'!$A$10:$M$38,13,FALSE)*M18)),IF(N18="Probabilidad",VLOOKUP(A18,'Mapa inherente'!$A$10:$M$38,13,FALSE),"")),""),
                   IFERROR(IF(N18="Impacto",(Q17-(Q17)*M18),Q17),"")))</f>
        <v>0.8</v>
      </c>
      <c r="R18" s="95" t="str">
        <f t="shared" si="1"/>
        <v>Mayor</v>
      </c>
      <c r="S18" s="95" t="str">
        <f t="shared" si="2"/>
        <v>Alto</v>
      </c>
      <c r="T18" s="106" t="s">
        <v>124</v>
      </c>
    </row>
    <row r="19" spans="1:20" ht="339" customHeight="1" x14ac:dyDescent="0.25">
      <c r="A19" s="100">
        <v>4</v>
      </c>
      <c r="B19" s="101" t="str">
        <f>IF(A19="","",VLOOKUP(A19,'Mapa inherente'!$A$10:$E$38,5,FALSE))</f>
        <v>REGISTROS Y ADMISIONES. Posibilidad de afectación reputacional por uso indebido o
modificación de la información académica contenida en los sistemas académicos de la Institución y/o en otros medios por falta de seguimiento al uso de los sistemas académicos y demás información académica, asi como tambien por no definir los roles autorizados para el manejo de los mismos.</v>
      </c>
      <c r="C19" s="102" t="str">
        <f>IF(A19="","",VLOOKUP(A19,'Mapa inherente'!$A$10:$N$38,14,FALSE))</f>
        <v>Alto</v>
      </c>
      <c r="D19" s="103">
        <f t="shared" si="3"/>
        <v>4</v>
      </c>
      <c r="E19" s="121" t="s">
        <v>259</v>
      </c>
      <c r="F19" s="104" t="s">
        <v>214</v>
      </c>
      <c r="G19" s="104" t="s">
        <v>260</v>
      </c>
      <c r="H19" s="105" t="s">
        <v>15</v>
      </c>
      <c r="I19" s="105" t="s">
        <v>9</v>
      </c>
      <c r="J19" s="105" t="s">
        <v>18</v>
      </c>
      <c r="K19" s="105" t="s">
        <v>21</v>
      </c>
      <c r="L19" s="105" t="s">
        <v>109</v>
      </c>
      <c r="M19" s="92" t="str">
        <f t="shared" si="4"/>
        <v>25%</v>
      </c>
      <c r="N19" s="93" t="str">
        <f t="shared" si="5"/>
        <v>Impacto</v>
      </c>
      <c r="O19" s="94">
        <f>IF(A19="","",IF(D19=1,IFERROR(IF(N19="Probabilidad",(VLOOKUP(A19,'Mapa inherente'!$A$10:$M$38,9,FALSE)-(VLOOKUP(A19,'Mapa inherente'!$A$10:$M$38,9,FALSE)*M19)),IF(N19="Impacto",VLOOKUP(A19,'Mapa inherente'!$A$10:$M$38,9,FALSE),"")),""),
IFERROR(IF(N19="Probabilidad",(O18-(O18)*M19),O18),"")))</f>
        <v>5.04E-2</v>
      </c>
      <c r="P19" s="95" t="str">
        <f t="shared" si="0"/>
        <v>Muy Baja</v>
      </c>
      <c r="Q19" s="94">
        <f>IF(A19="","",IF(D19=1,IFERROR(IF(N19="Impacto",(VLOOKUP(A19,'Mapa inherente'!$A$10:$M$38,13,FALSE)-(VLOOKUP(A19,'Mapa inherente'!$A$10:$M$38,13,FALSE)*M19)),IF(N19="Probabilidad",VLOOKUP(A19,'Mapa inherente'!$A$10:$M$38,13,FALSE),"")),""),
                   IFERROR(IF(N19="Impacto",(Q18-(Q18)*M19),Q18),"")))</f>
        <v>0.60000000000000009</v>
      </c>
      <c r="R19" s="95" t="str">
        <f t="shared" si="1"/>
        <v>Moderado</v>
      </c>
      <c r="S19" s="95" t="str">
        <f t="shared" si="2"/>
        <v>Moderado</v>
      </c>
      <c r="T19" s="106" t="s">
        <v>29</v>
      </c>
    </row>
    <row r="20" spans="1:20" ht="351" customHeight="1" x14ac:dyDescent="0.25">
      <c r="A20" s="100">
        <v>5</v>
      </c>
      <c r="B20" s="101" t="str">
        <f>IF(A20="","",VLOOKUP(A20,'Mapa inherente'!$A$10:$E$38,5,FALSE))</f>
        <v>COMUNICACIONES. Posibilidad de afectación reputacional por no compartir información de interés de forma oportuna, emisión de piezas publicitarias con información incompleta o amañada, compartir información confidencial con personas no autorizadas, por el uso indebido de la información para favorecer intereses de terceros</v>
      </c>
      <c r="C20" s="102" t="str">
        <f>IF(A20="","",VLOOKUP(A20,'Mapa inherente'!$A$10:$N$38,14,FALSE))</f>
        <v>Moderado</v>
      </c>
      <c r="D20" s="103">
        <f t="shared" si="3"/>
        <v>1</v>
      </c>
      <c r="E20" s="104" t="s">
        <v>263</v>
      </c>
      <c r="F20" s="104" t="s">
        <v>212</v>
      </c>
      <c r="G20" s="104" t="s">
        <v>264</v>
      </c>
      <c r="H20" s="105" t="s">
        <v>13</v>
      </c>
      <c r="I20" s="105" t="s">
        <v>9</v>
      </c>
      <c r="J20" s="105" t="s">
        <v>18</v>
      </c>
      <c r="K20" s="105" t="s">
        <v>21</v>
      </c>
      <c r="L20" s="105" t="s">
        <v>109</v>
      </c>
      <c r="M20" s="92" t="s">
        <v>246</v>
      </c>
      <c r="N20" s="93" t="s">
        <v>4</v>
      </c>
      <c r="O20" s="94">
        <f>IF(A20="","",IF(D20=1,IFERROR(IF(N20="Probabilidad",(VLOOKUP(A20,'Mapa inherente'!$A$10:$M$38,9,FALSE)-(VLOOKUP(A20,'Mapa inherente'!$A$10:$M$38,9,FALSE)*M20)),IF(N20="Impacto",VLOOKUP(A20,'Mapa inherente'!$A$10:$M$38,9,FALSE),"")),""),
IFERROR(IF(N20="Probabilidad",(O19-(O19)*M20),O19),"")))</f>
        <v>0.36</v>
      </c>
      <c r="P20" s="95" t="str">
        <f t="shared" si="0"/>
        <v>Baja</v>
      </c>
      <c r="Q20" s="94">
        <f>IF(A20="","",IF(D20=1,IFERROR(IF(N20="Impacto",(VLOOKUP(A20,'Mapa inherente'!$A$10:$M$38,13,FALSE)-(VLOOKUP(A20,'Mapa inherente'!$A$10:$M$38,13,FALSE)*M20)),IF(N20="Probabilidad",VLOOKUP(A20,'Mapa inherente'!$A$10:$M$38,13,FALSE),"")),""),
                   IFERROR(IF(N20="Impacto",(Q19-(Q19)*M20),Q19),"")))</f>
        <v>0.2</v>
      </c>
      <c r="R20" s="95" t="str">
        <f t="shared" si="1"/>
        <v>Leve</v>
      </c>
      <c r="S20" s="95" t="str">
        <f t="shared" si="2"/>
        <v>Bajo</v>
      </c>
      <c r="T20" s="106" t="s">
        <v>29</v>
      </c>
    </row>
    <row r="21" spans="1:20" ht="247.5" customHeight="1" x14ac:dyDescent="0.25">
      <c r="A21" s="100">
        <v>6</v>
      </c>
      <c r="B21" s="101" t="str">
        <f>IF(A21="","",VLOOKUP(A21,'Mapa inherente'!$A$10:$E$38,5,FALSE))</f>
        <v>DOCENCIA-Posibilidad de afectación reputacional por la  selección de docentes sin el cumplimiento de los requisitos establecidos en la convocatoria, debido a fallas en la verificación del cumplimiento de los perfiles requeridos en la convocatoria</v>
      </c>
      <c r="C21" s="102" t="str">
        <f>IF(A21="","",VLOOKUP(A21,'Mapa inherente'!$A$10:$N$38,14,FALSE))</f>
        <v>Moderado</v>
      </c>
      <c r="D21" s="103">
        <f t="shared" si="3"/>
        <v>1</v>
      </c>
      <c r="E21" s="104" t="s">
        <v>267</v>
      </c>
      <c r="F21" s="104" t="s">
        <v>214</v>
      </c>
      <c r="G21" s="104" t="s">
        <v>268</v>
      </c>
      <c r="H21" s="105" t="s">
        <v>13</v>
      </c>
      <c r="I21" s="105" t="s">
        <v>9</v>
      </c>
      <c r="J21" s="105" t="s">
        <v>18</v>
      </c>
      <c r="K21" s="105" t="s">
        <v>21</v>
      </c>
      <c r="L21" s="105" t="s">
        <v>109</v>
      </c>
      <c r="M21" s="92" t="str">
        <f t="shared" ref="M21:M30" si="6">IF(AND(H21="Preventivo",I21="Automático"),"50%",IF(AND(H21="Preventivo",I21="Manual"),"40%",IF(AND(H21="Detectivo",I21="Automático"),"40%",IF(AND(H21="Detectivo",I21="Manual"),"30%",IF(AND(H21="Correctivo",I21="Automático"),"35%",IF(AND(H21="Correctivo",I21="Manual"),"25%",""))))))</f>
        <v>40%</v>
      </c>
      <c r="N21" s="93" t="str">
        <f t="shared" ref="N21:N30" si="7">IF(OR(H21="Preventivo",H21="Detectivo"),"Probabilidad",IF(H21="Correctivo","Impacto",""))</f>
        <v>Probabilidad</v>
      </c>
      <c r="O21" s="94">
        <f>IF(A21="","",IF(D21=1,IFERROR(IF(N21="Probabilidad",(VLOOKUP(A21,'Mapa inherente'!$A$10:$M$38,9,FALSE)-(VLOOKUP(A21,'Mapa inherente'!$A$10:$M$38,9,FALSE)*M21)),IF(N21="Impacto",VLOOKUP(A21,'Mapa inherente'!$A$10:$M$38,9,FALSE),"")),""),
IFERROR(IF(N21="Probabilidad",(O20-(O20)*M21),O20),"")))</f>
        <v>0.36</v>
      </c>
      <c r="P21" s="95" t="str">
        <f t="shared" si="0"/>
        <v>Baja</v>
      </c>
      <c r="Q21" s="94">
        <f>IF(A21="","",IF(D21=1,IFERROR(IF(N21="Impacto",(VLOOKUP(A21,'Mapa inherente'!$A$10:$M$38,13,FALSE)-(VLOOKUP(A21,'Mapa inherente'!$A$10:$M$38,13,FALSE)*M21)),IF(N21="Probabilidad",VLOOKUP(A21,'Mapa inherente'!$A$10:$M$38,13,FALSE),"")),""),
                   IFERROR(IF(N21="Impacto",(Q20-(Q20)*M21),Q20),"")))</f>
        <v>0.6</v>
      </c>
      <c r="R21" s="95" t="str">
        <f t="shared" si="1"/>
        <v>Moderado</v>
      </c>
      <c r="S21" s="95" t="str">
        <f t="shared" si="2"/>
        <v>Moderado</v>
      </c>
      <c r="T21" s="106" t="s">
        <v>124</v>
      </c>
    </row>
    <row r="22" spans="1:20" ht="180" x14ac:dyDescent="0.25">
      <c r="A22" s="100">
        <v>6</v>
      </c>
      <c r="B22" s="101" t="str">
        <f>IF(A22="","",VLOOKUP(A22,'Mapa inherente'!$A$10:$E$38,5,FALSE))</f>
        <v>DOCENCIA-Posibilidad de afectación reputacional por la  selección de docentes sin el cumplimiento de los requisitos establecidos en la convocatoria, debido a fallas en la verificación del cumplimiento de los perfiles requeridos en la convocatoria</v>
      </c>
      <c r="C22" s="102" t="str">
        <f>IF(A22="","",VLOOKUP(A22,'Mapa inherente'!$A$10:$N$38,14,FALSE))</f>
        <v>Moderado</v>
      </c>
      <c r="D22" s="103">
        <f t="shared" si="3"/>
        <v>2</v>
      </c>
      <c r="E22" s="104" t="s">
        <v>269</v>
      </c>
      <c r="F22" s="104" t="s">
        <v>214</v>
      </c>
      <c r="G22" s="104" t="s">
        <v>270</v>
      </c>
      <c r="H22" s="105" t="s">
        <v>15</v>
      </c>
      <c r="I22" s="105" t="s">
        <v>9</v>
      </c>
      <c r="J22" s="105" t="s">
        <v>18</v>
      </c>
      <c r="K22" s="105" t="s">
        <v>21</v>
      </c>
      <c r="L22" s="105" t="s">
        <v>109</v>
      </c>
      <c r="M22" s="92" t="str">
        <f t="shared" si="6"/>
        <v>25%</v>
      </c>
      <c r="N22" s="93" t="str">
        <f t="shared" si="7"/>
        <v>Impacto</v>
      </c>
      <c r="O22" s="94">
        <f>IF(A22="","",IF(D22=1,IFERROR(IF(N22="Probabilidad",(VLOOKUP(A22,'Mapa inherente'!$A$10:$M$38,9,FALSE)-(VLOOKUP(A22,'Mapa inherente'!$A$10:$M$38,9,FALSE)*M22)),IF(N22="Impacto",VLOOKUP(A22,'Mapa inherente'!$A$10:$M$38,9,FALSE),"")),""),
IFERROR(IF(N22="Probabilidad",(O21-(O21)*M22),O21),"")))</f>
        <v>0.36</v>
      </c>
      <c r="P22" s="95" t="str">
        <f t="shared" si="0"/>
        <v>Baja</v>
      </c>
      <c r="Q22" s="94">
        <f>IF(A22="","",IF(D22=1,IFERROR(IF(N22="Impacto",(VLOOKUP(A22,'Mapa inherente'!$A$10:$M$38,13,FALSE)-(VLOOKUP(A22,'Mapa inherente'!$A$10:$M$38,13,FALSE)*M22)),IF(N22="Probabilidad",VLOOKUP(A22,'Mapa inherente'!$A$10:$M$38,13,FALSE),"")),""),
                   IFERROR(IF(N22="Impacto",(Q21-(Q21)*M22),Q21),"")))</f>
        <v>0.44999999999999996</v>
      </c>
      <c r="R22" s="95" t="str">
        <f t="shared" si="1"/>
        <v>Moderado</v>
      </c>
      <c r="S22" s="95" t="str">
        <f t="shared" si="2"/>
        <v>Moderado</v>
      </c>
      <c r="T22" s="106" t="s">
        <v>29</v>
      </c>
    </row>
    <row r="23" spans="1:20" ht="210" x14ac:dyDescent="0.25">
      <c r="A23" s="100">
        <v>7</v>
      </c>
      <c r="B23" s="101" t="str">
        <f>IF(A23="","",VLOOKUP(A23,'Mapa inherente'!$A$10:$E$38,5,FALSE))</f>
        <v>EXTENSIÓN. Posibilidad de afectación económica y reputacional por emitir un recibido a satisfacción de un bien y/o un servicio sin el cumplimiento de las condiciones pactadas para un beneficio particular, debido al tráfico de influencia, Amiguismo, clientelismo y/o soborno</v>
      </c>
      <c r="C23" s="102" t="str">
        <f>IF(A23="","",VLOOKUP(A23,'Mapa inherente'!$A$10:$N$38,14,FALSE))</f>
        <v>Moderado</v>
      </c>
      <c r="D23" s="103">
        <f t="shared" si="3"/>
        <v>1</v>
      </c>
      <c r="E23" s="104" t="s">
        <v>278</v>
      </c>
      <c r="F23" s="104" t="s">
        <v>215</v>
      </c>
      <c r="G23" s="104" t="s">
        <v>279</v>
      </c>
      <c r="H23" s="105" t="s">
        <v>13</v>
      </c>
      <c r="I23" s="105" t="s">
        <v>9</v>
      </c>
      <c r="J23" s="105" t="s">
        <v>18</v>
      </c>
      <c r="K23" s="105" t="s">
        <v>21</v>
      </c>
      <c r="L23" s="105" t="s">
        <v>109</v>
      </c>
      <c r="M23" s="92" t="str">
        <f t="shared" si="6"/>
        <v>40%</v>
      </c>
      <c r="N23" s="93" t="str">
        <f t="shared" si="7"/>
        <v>Probabilidad</v>
      </c>
      <c r="O23" s="94">
        <f>IF(A23="","",IF(D23=1,IFERROR(IF(N23="Probabilidad",(VLOOKUP(A23,'Mapa inherente'!$A$10:$M$38,9,FALSE)-(VLOOKUP(A23,'Mapa inherente'!$A$10:$M$38,9,FALSE)*M23)),IF(N23="Impacto",VLOOKUP(A23,'Mapa inherente'!$A$10:$M$38,9,FALSE),"")),""),
IFERROR(IF(N23="Probabilidad",(O22-(O22)*M23),O22),"")))</f>
        <v>0.24</v>
      </c>
      <c r="P23" s="95" t="str">
        <f t="shared" si="0"/>
        <v>Baja</v>
      </c>
      <c r="Q23" s="94">
        <f>IF(A23="","",IF(D23=1,IFERROR(IF(N23="Impacto",(VLOOKUP(A23,'Mapa inherente'!$A$10:$M$38,13,FALSE)-(VLOOKUP(A23,'Mapa inherente'!$A$10:$M$38,13,FALSE)*M23)),IF(N23="Probabilidad",VLOOKUP(A23,'Mapa inherente'!$A$10:$M$38,13,FALSE),"")),""),
                   IFERROR(IF(N23="Impacto",(Q22-(Q22)*M23),Q22),"")))</f>
        <v>0.6</v>
      </c>
      <c r="R23" s="95" t="str">
        <f t="shared" si="1"/>
        <v>Moderado</v>
      </c>
      <c r="S23" s="95" t="str">
        <f t="shared" si="2"/>
        <v>Moderado</v>
      </c>
      <c r="T23" s="106" t="s">
        <v>124</v>
      </c>
    </row>
    <row r="24" spans="1:20" ht="210" x14ac:dyDescent="0.25">
      <c r="A24" s="100">
        <v>7</v>
      </c>
      <c r="B24" s="101" t="str">
        <f>IF(A24="","",VLOOKUP(A24,'Mapa inherente'!$A$10:$E$38,5,FALSE))</f>
        <v>EXTENSIÓN. Posibilidad de afectación económica y reputacional por emitir un recibido a satisfacción de un bien y/o un servicio sin el cumplimiento de las condiciones pactadas para un beneficio particular, debido al tráfico de influencia, Amiguismo, clientelismo y/o soborno</v>
      </c>
      <c r="C24" s="102" t="str">
        <f>IF(A24="","",VLOOKUP(A24,'Mapa inherente'!$A$10:$N$38,14,FALSE))</f>
        <v>Moderado</v>
      </c>
      <c r="D24" s="103">
        <f t="shared" si="3"/>
        <v>2</v>
      </c>
      <c r="E24" s="104" t="s">
        <v>280</v>
      </c>
      <c r="F24" s="104" t="s">
        <v>215</v>
      </c>
      <c r="G24" s="104" t="s">
        <v>281</v>
      </c>
      <c r="H24" s="105" t="s">
        <v>15</v>
      </c>
      <c r="I24" s="105" t="s">
        <v>9</v>
      </c>
      <c r="J24" s="105" t="s">
        <v>18</v>
      </c>
      <c r="K24" s="105" t="s">
        <v>21</v>
      </c>
      <c r="L24" s="105" t="s">
        <v>109</v>
      </c>
      <c r="M24" s="92" t="str">
        <f t="shared" si="6"/>
        <v>25%</v>
      </c>
      <c r="N24" s="93" t="str">
        <f t="shared" si="7"/>
        <v>Impacto</v>
      </c>
      <c r="O24" s="94">
        <f>IF(A24="","",IF(D24=1,IFERROR(IF(N24="Probabilidad",(VLOOKUP(A24,'Mapa inherente'!$A$10:$M$38,9,FALSE)-(VLOOKUP(A24,'Mapa inherente'!$A$10:$M$38,9,FALSE)*M24)),IF(N24="Impacto",VLOOKUP(A24,'Mapa inherente'!$A$10:$M$38,9,FALSE),"")),""),
IFERROR(IF(N24="Probabilidad",(O23-(O23)*M24),O23),"")))</f>
        <v>0.24</v>
      </c>
      <c r="P24" s="95" t="str">
        <f t="shared" si="0"/>
        <v>Baja</v>
      </c>
      <c r="Q24" s="94">
        <f>IF(A24="","",IF(D24=1,IFERROR(IF(N24="Impacto",(VLOOKUP(A24,'Mapa inherente'!$A$10:$M$38,13,FALSE)-(VLOOKUP(A24,'Mapa inherente'!$A$10:$M$38,13,FALSE)*M24)),IF(N24="Probabilidad",VLOOKUP(A24,'Mapa inherente'!$A$10:$M$38,13,FALSE),"")),""),
                   IFERROR(IF(N24="Impacto",(Q23-(Q23)*M24),Q23),"")))</f>
        <v>0.44999999999999996</v>
      </c>
      <c r="R24" s="95" t="str">
        <f t="shared" si="1"/>
        <v>Moderado</v>
      </c>
      <c r="S24" s="95" t="str">
        <f t="shared" si="2"/>
        <v>Moderado</v>
      </c>
      <c r="T24" s="106" t="s">
        <v>30</v>
      </c>
    </row>
    <row r="25" spans="1:20" ht="369.75" x14ac:dyDescent="0.25">
      <c r="A25" s="100">
        <v>8</v>
      </c>
      <c r="B25" s="101" t="str">
        <f>IF(A25="","",VLOOKUP(A25,'Mapa inherente'!$A$10:$E$38,5,FALSE))</f>
        <v>G. DOCUMENTAL. Posibilidad de afectación 
económico y reputacional, por 
corrupción en ocultar a la 
ciudadanía información 
considerada pública, debido al 
desconocimiento en la 
Normatividad relacionada con 
la Ley 1712 de 2014 Ley de 
transparencia y acceso a la 
información.</v>
      </c>
      <c r="C25" s="102" t="str">
        <f>IF(A25="","",VLOOKUP(A25,'Mapa inherente'!$A$10:$N$38,14,FALSE))</f>
        <v>Bajo</v>
      </c>
      <c r="D25" s="103">
        <f t="shared" si="3"/>
        <v>1</v>
      </c>
      <c r="E25" s="104" t="s">
        <v>289</v>
      </c>
      <c r="F25" s="104" t="s">
        <v>215</v>
      </c>
      <c r="G25" s="104" t="s">
        <v>290</v>
      </c>
      <c r="H25" s="105" t="s">
        <v>13</v>
      </c>
      <c r="I25" s="105" t="s">
        <v>9</v>
      </c>
      <c r="J25" s="105" t="s">
        <v>18</v>
      </c>
      <c r="K25" s="105" t="s">
        <v>21</v>
      </c>
      <c r="L25" s="105" t="s">
        <v>109</v>
      </c>
      <c r="M25" s="92" t="str">
        <f t="shared" si="6"/>
        <v>40%</v>
      </c>
      <c r="N25" s="93" t="str">
        <f t="shared" si="7"/>
        <v>Probabilidad</v>
      </c>
      <c r="O25" s="94">
        <f>IF(A25="","",IF(D25=1,IFERROR(IF(N25="Probabilidad",(VLOOKUP(A25,'Mapa inherente'!$A$10:$M$38,9,FALSE)-(VLOOKUP(A25,'Mapa inherente'!$A$10:$M$38,9,FALSE)*M25)),IF(N25="Impacto",VLOOKUP(A25,'Mapa inherente'!$A$10:$M$38,9,FALSE),"")),""),
IFERROR(IF(N25="Probabilidad",(O24-(O24)*M25),O24),"")))</f>
        <v>0.12</v>
      </c>
      <c r="P25" s="95" t="str">
        <f t="shared" si="0"/>
        <v>Muy Baja</v>
      </c>
      <c r="Q25" s="94">
        <f>IF(A25="","",IF(D25=1,IFERROR(IF(N25="Impacto",(VLOOKUP(A25,'Mapa inherente'!$A$10:$M$38,13,FALSE)-(VLOOKUP(A25,'Mapa inherente'!$A$10:$M$38,13,FALSE)*M25)),IF(N25="Probabilidad",VLOOKUP(A25,'Mapa inherente'!$A$10:$M$38,13,FALSE),"")),""),
                   IFERROR(IF(N25="Impacto",(Q24-(Q24)*M25),Q24),"")))</f>
        <v>0.4</v>
      </c>
      <c r="R25" s="95" t="str">
        <f t="shared" si="1"/>
        <v>Menor</v>
      </c>
      <c r="S25" s="95" t="str">
        <f t="shared" si="2"/>
        <v>Bajo</v>
      </c>
      <c r="T25" s="106" t="s">
        <v>124</v>
      </c>
    </row>
    <row r="26" spans="1:20" ht="409.5" x14ac:dyDescent="0.25">
      <c r="A26" s="100">
        <v>8</v>
      </c>
      <c r="B26" s="101" t="str">
        <f>IF(A26="","",VLOOKUP(A26,'Mapa inherente'!$A$10:$E$38,5,FALSE))</f>
        <v>G. DOCUMENTAL. Posibilidad de afectación 
económico y reputacional, por 
corrupción en ocultar a la 
ciudadanía información 
considerada pública, debido al 
desconocimiento en la 
Normatividad relacionada con 
la Ley 1712 de 2014 Ley de 
transparencia y acceso a la 
información.</v>
      </c>
      <c r="C26" s="102" t="str">
        <f>IF(A26="","",VLOOKUP(A26,'Mapa inherente'!$A$10:$N$38,14,FALSE))</f>
        <v>Bajo</v>
      </c>
      <c r="D26" s="103">
        <f t="shared" si="3"/>
        <v>2</v>
      </c>
      <c r="E26" s="104" t="s">
        <v>291</v>
      </c>
      <c r="F26" s="104" t="s">
        <v>215</v>
      </c>
      <c r="G26" s="104" t="s">
        <v>290</v>
      </c>
      <c r="H26" s="105" t="s">
        <v>13</v>
      </c>
      <c r="I26" s="105" t="s">
        <v>9</v>
      </c>
      <c r="J26" s="105" t="s">
        <v>18</v>
      </c>
      <c r="K26" s="105" t="s">
        <v>21</v>
      </c>
      <c r="L26" s="105" t="s">
        <v>109</v>
      </c>
      <c r="M26" s="92" t="str">
        <f t="shared" si="6"/>
        <v>40%</v>
      </c>
      <c r="N26" s="93" t="str">
        <f t="shared" si="7"/>
        <v>Probabilidad</v>
      </c>
      <c r="O26" s="94">
        <f>IF(A26="","",IF(D26=1,IFERROR(IF(N26="Probabilidad",(VLOOKUP(A26,'Mapa inherente'!$A$10:$M$38,9,FALSE)-(VLOOKUP(A26,'Mapa inherente'!$A$10:$M$38,9,FALSE)*M26)),IF(N26="Impacto",VLOOKUP(A26,'Mapa inherente'!$A$10:$M$38,9,FALSE),"")),""),
IFERROR(IF(N26="Probabilidad",(O25-(O25)*M26),O25),"")))</f>
        <v>7.1999999999999995E-2</v>
      </c>
      <c r="P26" s="95" t="str">
        <f t="shared" si="0"/>
        <v>Muy Baja</v>
      </c>
      <c r="Q26" s="94">
        <f>IF(A26="","",IF(D26=1,IFERROR(IF(N26="Impacto",(VLOOKUP(A26,'Mapa inherente'!$A$10:$M$38,13,FALSE)-(VLOOKUP(A26,'Mapa inherente'!$A$10:$M$38,13,FALSE)*M26)),IF(N26="Probabilidad",VLOOKUP(A26,'Mapa inherente'!$A$10:$M$38,13,FALSE),"")),""),
                   IFERROR(IF(N26="Impacto",(Q25-(Q25)*M26),Q25),"")))</f>
        <v>0.4</v>
      </c>
      <c r="R26" s="95" t="str">
        <f t="shared" si="1"/>
        <v>Menor</v>
      </c>
      <c r="S26" s="95" t="str">
        <f t="shared" si="2"/>
        <v>Bajo</v>
      </c>
      <c r="T26" s="106" t="s">
        <v>124</v>
      </c>
    </row>
    <row r="27" spans="1:20" ht="315" customHeight="1" x14ac:dyDescent="0.25">
      <c r="A27" s="100">
        <v>8</v>
      </c>
      <c r="B27" s="101" t="str">
        <f>IF(A27="","",VLOOKUP(A27,'Mapa inherente'!$A$10:$E$38,5,FALSE))</f>
        <v>G. DOCUMENTAL. Posibilidad de afectación 
económico y reputacional, por 
corrupción en ocultar a la 
ciudadanía información 
considerada pública, debido al 
desconocimiento en la 
Normatividad relacionada con 
la Ley 1712 de 2014 Ley de 
transparencia y acceso a la 
información.</v>
      </c>
      <c r="C27" s="102" t="str">
        <f>IF(A27="","",VLOOKUP(A27,'Mapa inherente'!$A$10:$N$38,14,FALSE))</f>
        <v>Bajo</v>
      </c>
      <c r="D27" s="103">
        <f t="shared" si="3"/>
        <v>3</v>
      </c>
      <c r="E27" s="104" t="s">
        <v>292</v>
      </c>
      <c r="F27" s="104" t="s">
        <v>214</v>
      </c>
      <c r="G27" s="104" t="s">
        <v>293</v>
      </c>
      <c r="H27" s="105" t="s">
        <v>15</v>
      </c>
      <c r="I27" s="105" t="s">
        <v>9</v>
      </c>
      <c r="J27" s="105" t="s">
        <v>18</v>
      </c>
      <c r="K27" s="105" t="s">
        <v>21</v>
      </c>
      <c r="L27" s="105" t="s">
        <v>109</v>
      </c>
      <c r="M27" s="92" t="str">
        <f t="shared" si="6"/>
        <v>25%</v>
      </c>
      <c r="N27" s="93" t="str">
        <f t="shared" si="7"/>
        <v>Impacto</v>
      </c>
      <c r="O27" s="94">
        <f>IF(A27="","",IF(D27=1,IFERROR(IF(N27="Probabilidad",(VLOOKUP(A27,'Mapa inherente'!$A$10:$M$38,9,FALSE)-(VLOOKUP(A27,'Mapa inherente'!$A$10:$M$38,9,FALSE)*M27)),IF(N27="Impacto",VLOOKUP(A27,'Mapa inherente'!$A$10:$M$38,9,FALSE),"")),""),
IFERROR(IF(N27="Probabilidad",(O26-(O26)*M27),O26),"")))</f>
        <v>7.1999999999999995E-2</v>
      </c>
      <c r="P27" s="95" t="str">
        <f t="shared" si="0"/>
        <v>Muy Baja</v>
      </c>
      <c r="Q27" s="94">
        <f>IF(A27="","",IF(D27=1,IFERROR(IF(N27="Impacto",(VLOOKUP(A27,'Mapa inherente'!$A$10:$M$38,13,FALSE)-(VLOOKUP(A27,'Mapa inherente'!$A$10:$M$38,13,FALSE)*M27)),IF(N27="Probabilidad",VLOOKUP(A27,'Mapa inherente'!$A$10:$M$38,13,FALSE),"")),""),
                   IFERROR(IF(N27="Impacto",(Q26-(Q26)*M27),Q26),"")))</f>
        <v>0.30000000000000004</v>
      </c>
      <c r="R27" s="95" t="str">
        <f t="shared" si="1"/>
        <v>Menor</v>
      </c>
      <c r="S27" s="95" t="str">
        <f t="shared" si="2"/>
        <v>Bajo</v>
      </c>
      <c r="T27" s="106" t="s">
        <v>29</v>
      </c>
    </row>
    <row r="28" spans="1:20" ht="240.75" customHeight="1" x14ac:dyDescent="0.25">
      <c r="A28" s="100">
        <v>9</v>
      </c>
      <c r="B28" s="101" t="str">
        <f>IF(A28="","",VLOOKUP(A28,'Mapa inherente'!$A$10:$E$38,5,FALSE))</f>
        <v>G. DOCUMENTAL. Posibilidad de afectación 
económico y reputacional por Perdida, ocultamiento, modificación de documentos generados o archivados por la Institución por soborno, dádiva o beneficio propio para permitir el uso inadecuado de información institucional</v>
      </c>
      <c r="C28" s="102" t="str">
        <f>IF(A28="","",VLOOKUP(A28,'Mapa inherente'!$A$10:$N$38,14,FALSE))</f>
        <v>Moderado</v>
      </c>
      <c r="D28" s="103">
        <f t="shared" si="3"/>
        <v>1</v>
      </c>
      <c r="E28" s="123" t="s">
        <v>294</v>
      </c>
      <c r="F28" s="104" t="s">
        <v>213</v>
      </c>
      <c r="G28" s="104" t="s">
        <v>295</v>
      </c>
      <c r="H28" s="105" t="s">
        <v>13</v>
      </c>
      <c r="I28" s="105" t="s">
        <v>9</v>
      </c>
      <c r="J28" s="105" t="s">
        <v>18</v>
      </c>
      <c r="K28" s="105" t="s">
        <v>21</v>
      </c>
      <c r="L28" s="105" t="s">
        <v>109</v>
      </c>
      <c r="M28" s="92" t="str">
        <f t="shared" si="6"/>
        <v>40%</v>
      </c>
      <c r="N28" s="93" t="str">
        <f t="shared" si="7"/>
        <v>Probabilidad</v>
      </c>
      <c r="O28" s="94">
        <f>IF(A28="","",IF(D28=1,IFERROR(IF(N28="Probabilidad",(VLOOKUP(A28,'Mapa inherente'!$A$10:$M$38,9,FALSE)-(VLOOKUP(A28,'Mapa inherente'!$A$10:$M$38,9,FALSE)*M28)),IF(N28="Impacto",VLOOKUP(A28,'Mapa inherente'!$A$10:$M$38,9,FALSE),"")),""),
IFERROR(IF(N28="Probabilidad",(O27-(O27)*M28),O27),"")))</f>
        <v>0.36</v>
      </c>
      <c r="P28" s="95" t="str">
        <f t="shared" si="0"/>
        <v>Baja</v>
      </c>
      <c r="Q28" s="94">
        <f>IF(A28="","",IF(D28=1,IFERROR(IF(N28="Impacto",(VLOOKUP(A28,'Mapa inherente'!$A$10:$M$38,13,FALSE)-(VLOOKUP(A28,'Mapa inherente'!$A$10:$M$38,13,FALSE)*M28)),IF(N28="Probabilidad",VLOOKUP(A28,'Mapa inherente'!$A$10:$M$38,13,FALSE),"")),""),
                   IFERROR(IF(N28="Impacto",(Q27-(Q27)*M28),Q27),"")))</f>
        <v>0.4</v>
      </c>
      <c r="R28" s="95" t="str">
        <f t="shared" si="1"/>
        <v>Menor</v>
      </c>
      <c r="S28" s="95" t="str">
        <f t="shared" si="2"/>
        <v>Moderado</v>
      </c>
      <c r="T28" s="106" t="s">
        <v>124</v>
      </c>
    </row>
    <row r="29" spans="1:20" ht="276.75" customHeight="1" x14ac:dyDescent="0.25">
      <c r="A29" s="100">
        <v>9</v>
      </c>
      <c r="B29" s="101" t="str">
        <f>IF(A29="","",VLOOKUP(A29,'Mapa inherente'!$A$10:$E$38,5,FALSE))</f>
        <v>G. DOCUMENTAL. Posibilidad de afectación 
económico y reputacional por Perdida, ocultamiento, modificación de documentos generados o archivados por la Institución por soborno, dádiva o beneficio propio para permitir el uso inadecuado de información institucional</v>
      </c>
      <c r="C29" s="102" t="str">
        <f>IF(A29="","",VLOOKUP(A29,'Mapa inherente'!$A$10:$N$38,14,FALSE))</f>
        <v>Moderado</v>
      </c>
      <c r="D29" s="103">
        <f t="shared" si="3"/>
        <v>2</v>
      </c>
      <c r="E29" s="104" t="s">
        <v>296</v>
      </c>
      <c r="F29" s="104" t="s">
        <v>213</v>
      </c>
      <c r="G29" s="104" t="s">
        <v>297</v>
      </c>
      <c r="H29" s="105" t="s">
        <v>13</v>
      </c>
      <c r="I29" s="105" t="s">
        <v>9</v>
      </c>
      <c r="J29" s="105" t="s">
        <v>18</v>
      </c>
      <c r="K29" s="105" t="s">
        <v>21</v>
      </c>
      <c r="L29" s="105" t="s">
        <v>109</v>
      </c>
      <c r="M29" s="92" t="str">
        <f t="shared" si="6"/>
        <v>40%</v>
      </c>
      <c r="N29" s="93" t="str">
        <f t="shared" si="7"/>
        <v>Probabilidad</v>
      </c>
      <c r="O29" s="94">
        <f>IF(A29="","",IF(D29=1,IFERROR(IF(N29="Probabilidad",(VLOOKUP(A29,'Mapa inherente'!$A$10:$M$38,9,FALSE)-(VLOOKUP(A29,'Mapa inherente'!$A$10:$M$38,9,FALSE)*M29)),IF(N29="Impacto",VLOOKUP(A29,'Mapa inherente'!$A$10:$M$38,9,FALSE),"")),""),
IFERROR(IF(N29="Probabilidad",(O28-(O28)*M29),O28),"")))</f>
        <v>0.216</v>
      </c>
      <c r="P29" s="95" t="str">
        <f t="shared" si="0"/>
        <v>Baja</v>
      </c>
      <c r="Q29" s="94">
        <f>IF(A29="","",IF(D29=1,IFERROR(IF(N29="Impacto",(VLOOKUP(A29,'Mapa inherente'!$A$10:$M$38,13,FALSE)-(VLOOKUP(A29,'Mapa inherente'!$A$10:$M$38,13,FALSE)*M29)),IF(N29="Probabilidad",VLOOKUP(A29,'Mapa inherente'!$A$10:$M$38,13,FALSE),"")),""),
                   IFERROR(IF(N29="Impacto",(Q28-(Q28)*M29),Q28),"")))</f>
        <v>0.4</v>
      </c>
      <c r="R29" s="95" t="str">
        <f t="shared" si="1"/>
        <v>Menor</v>
      </c>
      <c r="S29" s="95" t="str">
        <f t="shared" si="2"/>
        <v>Moderado</v>
      </c>
      <c r="T29" s="106" t="s">
        <v>124</v>
      </c>
    </row>
    <row r="30" spans="1:20" ht="252" customHeight="1" x14ac:dyDescent="0.25">
      <c r="A30" s="100">
        <v>9</v>
      </c>
      <c r="B30" s="101" t="str">
        <f>IF(A30="","",VLOOKUP(A30,'Mapa inherente'!$A$10:$E$38,5,FALSE))</f>
        <v>G. DOCUMENTAL. Posibilidad de afectación 
económico y reputacional por Perdida, ocultamiento, modificación de documentos generados o archivados por la Institución por soborno, dádiva o beneficio propio para permitir el uso inadecuado de información institucional</v>
      </c>
      <c r="C30" s="102" t="str">
        <f>IF(A30="","",VLOOKUP(A30,'Mapa inherente'!$A$10:$N$38,14,FALSE))</f>
        <v>Moderado</v>
      </c>
      <c r="D30" s="103">
        <f t="shared" si="3"/>
        <v>3</v>
      </c>
      <c r="E30" s="104" t="s">
        <v>298</v>
      </c>
      <c r="F30" s="104" t="s">
        <v>215</v>
      </c>
      <c r="G30" s="104" t="s">
        <v>293</v>
      </c>
      <c r="H30" s="105" t="s">
        <v>15</v>
      </c>
      <c r="I30" s="105" t="s">
        <v>9</v>
      </c>
      <c r="J30" s="105" t="s">
        <v>18</v>
      </c>
      <c r="K30" s="105" t="s">
        <v>21</v>
      </c>
      <c r="L30" s="105" t="s">
        <v>109</v>
      </c>
      <c r="M30" s="92" t="str">
        <f t="shared" si="6"/>
        <v>25%</v>
      </c>
      <c r="N30" s="93" t="str">
        <f t="shared" si="7"/>
        <v>Impacto</v>
      </c>
      <c r="O30" s="94">
        <f>IF(A30="","",IF(D30=1,IFERROR(IF(N30="Probabilidad",(VLOOKUP(A30,'Mapa inherente'!$A$10:$M$38,9,FALSE)-(VLOOKUP(A30,'Mapa inherente'!$A$10:$M$38,9,FALSE)*M30)),IF(N30="Impacto",VLOOKUP(A30,'Mapa inherente'!$A$10:$M$38,9,FALSE),"")),""),
IFERROR(IF(N30="Probabilidad",(O29-(O29)*M30),O29),"")))</f>
        <v>0.216</v>
      </c>
      <c r="P30" s="95" t="str">
        <f t="shared" si="0"/>
        <v>Baja</v>
      </c>
      <c r="Q30" s="94">
        <f>IF(A30="","",IF(D30=1,IFERROR(IF(N30="Impacto",(VLOOKUP(A30,'Mapa inherente'!$A$10:$M$38,13,FALSE)-(VLOOKUP(A30,'Mapa inherente'!$A$10:$M$38,13,FALSE)*M30)),IF(N30="Probabilidad",VLOOKUP(A30,'Mapa inherente'!$A$10:$M$38,13,FALSE),"")),""),
                   IFERROR(IF(N30="Impacto",(Q29-(Q29)*M30),Q29),"")))</f>
        <v>0.30000000000000004</v>
      </c>
      <c r="R30" s="95" t="str">
        <f t="shared" si="1"/>
        <v>Menor</v>
      </c>
      <c r="S30" s="95" t="str">
        <f t="shared" si="2"/>
        <v>Moderado</v>
      </c>
      <c r="T30" s="106" t="s">
        <v>29</v>
      </c>
    </row>
    <row r="31" spans="1:20" ht="210" x14ac:dyDescent="0.25">
      <c r="A31" s="100">
        <v>10</v>
      </c>
      <c r="B31" s="101" t="str">
        <f>IF(A31="","",VLOOKUP(A31,'Mapa inherente'!$A$10:$E$38,5,FALSE))</f>
        <v xml:space="preserve">
GESTIÓN DE CALIDAD. Posibilidad de afectación económica y reputacional por la toma de decisiones erróneas basadas en la información incorrecta incluida en los informes generados por una organización no sean precisos, completos, comprensibles o entregados a tiempo</v>
      </c>
      <c r="C31" s="102" t="str">
        <f>IF(A31="","",VLOOKUP(A31,'Mapa inherente'!$A$10:$N$38,14,FALSE))</f>
        <v>Bajo</v>
      </c>
      <c r="D31" s="133">
        <f t="shared" si="3"/>
        <v>1</v>
      </c>
      <c r="E31" s="104" t="s">
        <v>302</v>
      </c>
      <c r="F31" s="104" t="s">
        <v>215</v>
      </c>
      <c r="G31" s="104" t="s">
        <v>303</v>
      </c>
      <c r="H31" s="134" t="s">
        <v>13</v>
      </c>
      <c r="I31" s="134" t="s">
        <v>9</v>
      </c>
      <c r="J31" s="134" t="s">
        <v>18</v>
      </c>
      <c r="K31" s="134" t="s">
        <v>21</v>
      </c>
      <c r="L31" s="134" t="s">
        <v>109</v>
      </c>
      <c r="M31" s="135" t="s">
        <v>246</v>
      </c>
      <c r="N31" s="136" t="s">
        <v>4</v>
      </c>
      <c r="O31" s="137">
        <f>IF(A31="","",IF(D31=1,IFERROR(IF(N31="Probabilidad",(VLOOKUP(A31,'Mapa inherente'!$A$10:$M$38,9,FALSE)-(VLOOKUP(A31,'Mapa inherente'!$A$10:$M$38,9,FALSE)*M31)),IF(N31="Impacto",VLOOKUP(A31,'Mapa inherente'!$A$10:$M$38,9,FALSE),"")),""),
IFERROR(IF(N31="Probabilidad",(O30-(O30)*M31),O30),"")))</f>
        <v>0.24</v>
      </c>
      <c r="P31" s="138" t="str">
        <f t="shared" si="0"/>
        <v>Baja</v>
      </c>
      <c r="Q31" s="137">
        <f>IF(A31="","",IF(D31=1,IFERROR(IF(N31="Impacto",(VLOOKUP(A31,'Mapa inherente'!$A$10:$M$38,13,FALSE)-(VLOOKUP(A31,'Mapa inherente'!$A$10:$M$38,13,FALSE)*M31)),IF(N31="Probabilidad",VLOOKUP(A31,'Mapa inherente'!$A$10:$M$38,13,FALSE),"")),""),
                   IFERROR(IF(N31="Impacto",(Q30-(Q30)*M31),Q30),"")))</f>
        <v>0.2</v>
      </c>
      <c r="R31" s="138" t="str">
        <f t="shared" si="1"/>
        <v>Leve</v>
      </c>
      <c r="S31" s="138" t="str">
        <f t="shared" si="2"/>
        <v>Bajo</v>
      </c>
      <c r="T31" s="139" t="s">
        <v>124</v>
      </c>
    </row>
    <row r="32" spans="1:20" ht="210" x14ac:dyDescent="0.25">
      <c r="A32" s="100">
        <v>10</v>
      </c>
      <c r="B32" s="101" t="str">
        <f>IF(A32="","",VLOOKUP(A32,'Mapa inherente'!$A$10:$E$38,5,FALSE))</f>
        <v xml:space="preserve">
GESTIÓN DE CALIDAD. Posibilidad de afectación económica y reputacional por la toma de decisiones erróneas basadas en la información incorrecta incluida en los informes generados por una organización no sean precisos, completos, comprensibles o entregados a tiempo</v>
      </c>
      <c r="C32" s="102" t="str">
        <f>IF(A32="","",VLOOKUP(A32,'Mapa inherente'!$A$10:$N$38,14,FALSE))</f>
        <v>Bajo</v>
      </c>
      <c r="D32" s="133">
        <f t="shared" si="3"/>
        <v>2</v>
      </c>
      <c r="E32" s="104" t="s">
        <v>304</v>
      </c>
      <c r="F32" s="104" t="s">
        <v>217</v>
      </c>
      <c r="G32" s="104" t="s">
        <v>305</v>
      </c>
      <c r="H32" s="134" t="s">
        <v>13</v>
      </c>
      <c r="I32" s="134" t="s">
        <v>9</v>
      </c>
      <c r="J32" s="134" t="s">
        <v>18</v>
      </c>
      <c r="K32" s="134" t="s">
        <v>21</v>
      </c>
      <c r="L32" s="134" t="s">
        <v>109</v>
      </c>
      <c r="M32" s="135" t="s">
        <v>246</v>
      </c>
      <c r="N32" s="136" t="s">
        <v>4</v>
      </c>
      <c r="O32" s="137">
        <f>IF(A32="","",IF(D32=1,IFERROR(IF(N32="Probabilidad",(VLOOKUP(A32,'Mapa inherente'!$A$10:$M$38,9,FALSE)-(VLOOKUP(A32,'Mapa inherente'!$A$10:$M$38,9,FALSE)*M32)),IF(N32="Impacto",VLOOKUP(A32,'Mapa inherente'!$A$10:$M$38,9,FALSE),"")),""),
IFERROR(IF(N32="Probabilidad",(O31-(O31)*M32),O31),"")))</f>
        <v>0.14399999999999999</v>
      </c>
      <c r="P32" s="138" t="str">
        <f t="shared" si="0"/>
        <v>Muy Baja</v>
      </c>
      <c r="Q32" s="137">
        <f>IF(A32="","",IF(D32=1,IFERROR(IF(N32="Impacto",(VLOOKUP(A32,'Mapa inherente'!$A$10:$M$38,13,FALSE)-(VLOOKUP(A32,'Mapa inherente'!$A$10:$M$38,13,FALSE)*M32)),IF(N32="Probabilidad",VLOOKUP(A32,'Mapa inherente'!$A$10:$M$38,13,FALSE),"")),""),
                   IFERROR(IF(N32="Impacto",(Q31-(Q31)*M32),Q31),"")))</f>
        <v>0.2</v>
      </c>
      <c r="R32" s="138" t="str">
        <f t="shared" si="1"/>
        <v>Leve</v>
      </c>
      <c r="S32" s="138" t="str">
        <f t="shared" si="2"/>
        <v>Bajo</v>
      </c>
      <c r="T32" s="139" t="s">
        <v>29</v>
      </c>
    </row>
    <row r="33" spans="1:20" ht="225" x14ac:dyDescent="0.25">
      <c r="A33" s="100">
        <v>11</v>
      </c>
      <c r="B33" s="101" t="str">
        <f>IF(A33="","",VLOOKUP(A33,'Mapa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33" s="102" t="str">
        <f>IF(A33="","",VLOOKUP(A33,'Mapa inherente'!$A$10:$N$38,14,FALSE))</f>
        <v>Alto</v>
      </c>
      <c r="D33" s="133">
        <f t="shared" si="3"/>
        <v>1</v>
      </c>
      <c r="E33" s="104" t="s">
        <v>309</v>
      </c>
      <c r="F33" s="104" t="s">
        <v>211</v>
      </c>
      <c r="G33" s="104" t="s">
        <v>310</v>
      </c>
      <c r="H33" s="105" t="s">
        <v>13</v>
      </c>
      <c r="I33" s="105" t="s">
        <v>9</v>
      </c>
      <c r="J33" s="105" t="s">
        <v>19</v>
      </c>
      <c r="K33" s="105" t="s">
        <v>21</v>
      </c>
      <c r="L33" s="105" t="s">
        <v>109</v>
      </c>
      <c r="M33" s="92" t="s">
        <v>246</v>
      </c>
      <c r="N33" s="93" t="s">
        <v>4</v>
      </c>
      <c r="O33" s="137">
        <f>IF(A33="","",IF(D33=1,IFERROR(IF(N33="Probabilidad",(VLOOKUP(A33,'Mapa inherente'!$A$10:$M$38,9,FALSE)-(VLOOKUP(A33,'Mapa inherente'!$A$10:$M$38,9,FALSE)*M33)),IF(N33="Impacto",VLOOKUP(A33,'Mapa inherente'!$A$10:$M$38,9,FALSE),"")),""),
IFERROR(IF(N33="Probabilidad",(O32-(O32)*M33),O32),"")))</f>
        <v>0.6</v>
      </c>
      <c r="P33" s="138" t="str">
        <f t="shared" si="0"/>
        <v>Media</v>
      </c>
      <c r="Q33" s="137">
        <f>IF(A33="","",IF(D33=1,IFERROR(IF(N33="Impacto",(VLOOKUP(A33,'Mapa inherente'!$A$10:$M$38,13,FALSE)-(VLOOKUP(A33,'Mapa inherente'!$A$10:$M$38,13,FALSE)*M33)),IF(N33="Probabilidad",VLOOKUP(A33,'Mapa inherente'!$A$10:$M$38,13,FALSE),"")),""),
                   IFERROR(IF(N33="Impacto",(Q32-(Q32)*M33),Q32),"")))</f>
        <v>0.8</v>
      </c>
      <c r="R33" s="138" t="str">
        <f t="shared" si="1"/>
        <v>Mayor</v>
      </c>
      <c r="S33" s="138" t="str">
        <f t="shared" si="2"/>
        <v>Alto</v>
      </c>
      <c r="T33" s="139" t="s">
        <v>124</v>
      </c>
    </row>
    <row r="34" spans="1:20" ht="235.5" customHeight="1" x14ac:dyDescent="0.25">
      <c r="A34" s="100">
        <v>11</v>
      </c>
      <c r="B34" s="101" t="str">
        <f>IF(A34="","",VLOOKUP(A34,'Mapa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34" s="102" t="str">
        <f>IF(A34="","",VLOOKUP(A34,'Mapa inherente'!$A$10:$N$38,14,FALSE))</f>
        <v>Alto</v>
      </c>
      <c r="D34" s="133">
        <f t="shared" si="3"/>
        <v>2</v>
      </c>
      <c r="E34" s="104" t="s">
        <v>311</v>
      </c>
      <c r="F34" s="104" t="s">
        <v>213</v>
      </c>
      <c r="G34" s="104" t="s">
        <v>312</v>
      </c>
      <c r="H34" s="105" t="s">
        <v>14</v>
      </c>
      <c r="I34" s="105" t="s">
        <v>9</v>
      </c>
      <c r="J34" s="105" t="s">
        <v>18</v>
      </c>
      <c r="K34" s="105" t="s">
        <v>21</v>
      </c>
      <c r="L34" s="105" t="s">
        <v>109</v>
      </c>
      <c r="M34" s="92" t="s">
        <v>240</v>
      </c>
      <c r="N34" s="93" t="s">
        <v>4</v>
      </c>
      <c r="O34" s="137">
        <f>IF(A34="","",IF(D34=1,IFERROR(IF(N34="Probabilidad",(VLOOKUP(A34,'Mapa inherente'!$A$10:$M$38,9,FALSE)-(VLOOKUP(A34,'Mapa inherente'!$A$10:$M$38,9,FALSE)*M34)),IF(N34="Impacto",VLOOKUP(A34,'Mapa inherente'!$A$10:$M$38,9,FALSE),"")),""),
IFERROR(IF(N34="Probabilidad",(O33-(O33)*M34),O33),"")))</f>
        <v>0.42</v>
      </c>
      <c r="P34" s="138" t="str">
        <f t="shared" si="0"/>
        <v>Media</v>
      </c>
      <c r="Q34" s="137">
        <f>IF(A34="","",IF(D34=1,IFERROR(IF(N34="Impacto",(VLOOKUP(A34,'Mapa inherente'!$A$10:$M$38,13,FALSE)-(VLOOKUP(A34,'Mapa inherente'!$A$10:$M$38,13,FALSE)*M34)),IF(N34="Probabilidad",VLOOKUP(A34,'Mapa inherente'!$A$10:$M$38,13,FALSE),"")),""),
                   IFERROR(IF(N34="Impacto",(Q33-(Q33)*M34),Q33),"")))</f>
        <v>0.8</v>
      </c>
      <c r="R34" s="138" t="str">
        <f t="shared" si="1"/>
        <v>Mayor</v>
      </c>
      <c r="S34" s="138" t="str">
        <f t="shared" si="2"/>
        <v>Alto</v>
      </c>
      <c r="T34" s="139" t="s">
        <v>124</v>
      </c>
    </row>
    <row r="35" spans="1:20" ht="225" x14ac:dyDescent="0.25">
      <c r="A35" s="100">
        <v>11</v>
      </c>
      <c r="B35" s="101" t="str">
        <f>IF(A35="","",VLOOKUP(A35,'Mapa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35" s="102" t="str">
        <f>IF(A35="","",VLOOKUP(A35,'Mapa inherente'!$A$10:$N$38,14,FALSE))</f>
        <v>Alto</v>
      </c>
      <c r="D35" s="133">
        <f t="shared" si="3"/>
        <v>3</v>
      </c>
      <c r="E35" s="104" t="s">
        <v>313</v>
      </c>
      <c r="F35" s="104" t="s">
        <v>216</v>
      </c>
      <c r="G35" s="104" t="s">
        <v>312</v>
      </c>
      <c r="H35" s="105" t="s">
        <v>14</v>
      </c>
      <c r="I35" s="105" t="s">
        <v>9</v>
      </c>
      <c r="J35" s="105" t="s">
        <v>18</v>
      </c>
      <c r="K35" s="105" t="s">
        <v>21</v>
      </c>
      <c r="L35" s="105" t="s">
        <v>109</v>
      </c>
      <c r="M35" s="92" t="s">
        <v>240</v>
      </c>
      <c r="N35" s="93" t="s">
        <v>4</v>
      </c>
      <c r="O35" s="137">
        <f>IF(A35="","",IF(D35=1,IFERROR(IF(N35="Probabilidad",(VLOOKUP(A35,'Mapa inherente'!$A$10:$M$38,9,FALSE)-(VLOOKUP(A35,'Mapa inherente'!$A$10:$M$38,9,FALSE)*M35)),IF(N35="Impacto",VLOOKUP(A35,'Mapa inherente'!$A$10:$M$38,9,FALSE),"")),""),
IFERROR(IF(N35="Probabilidad",(O34-(O34)*M35),O34),"")))</f>
        <v>0.29399999999999998</v>
      </c>
      <c r="P35" s="138" t="str">
        <f t="shared" si="0"/>
        <v>Baja</v>
      </c>
      <c r="Q35" s="137">
        <f>IF(A35="","",IF(D35=1,IFERROR(IF(N35="Impacto",(VLOOKUP(A35,'Mapa inherente'!$A$10:$M$38,13,FALSE)-(VLOOKUP(A35,'Mapa inherente'!$A$10:$M$38,13,FALSE)*M35)),IF(N35="Probabilidad",VLOOKUP(A35,'Mapa inherente'!$A$10:$M$38,13,FALSE),"")),""),
                   IFERROR(IF(N35="Impacto",(Q34-(Q34)*M35),Q34),"")))</f>
        <v>0.8</v>
      </c>
      <c r="R35" s="138" t="str">
        <f t="shared" si="1"/>
        <v>Mayor</v>
      </c>
      <c r="S35" s="138" t="str">
        <f t="shared" si="2"/>
        <v>Alto</v>
      </c>
      <c r="T35" s="139" t="s">
        <v>124</v>
      </c>
    </row>
    <row r="36" spans="1:20" ht="225" x14ac:dyDescent="0.25">
      <c r="A36" s="100">
        <v>11</v>
      </c>
      <c r="B36" s="101" t="str">
        <f>IF(A36="","",VLOOKUP(A36,'Mapa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36" s="102" t="str">
        <f>IF(A36="","",VLOOKUP(A36,'Mapa inherente'!$A$10:$N$38,14,FALSE))</f>
        <v>Alto</v>
      </c>
      <c r="D36" s="133">
        <f t="shared" si="3"/>
        <v>4</v>
      </c>
      <c r="E36" s="104" t="s">
        <v>314</v>
      </c>
      <c r="F36" s="104" t="s">
        <v>216</v>
      </c>
      <c r="G36" s="104" t="s">
        <v>312</v>
      </c>
      <c r="H36" s="105" t="s">
        <v>14</v>
      </c>
      <c r="I36" s="105" t="s">
        <v>9</v>
      </c>
      <c r="J36" s="105" t="s">
        <v>18</v>
      </c>
      <c r="K36" s="105" t="s">
        <v>21</v>
      </c>
      <c r="L36" s="105" t="s">
        <v>109</v>
      </c>
      <c r="M36" s="92" t="s">
        <v>240</v>
      </c>
      <c r="N36" s="93" t="s">
        <v>4</v>
      </c>
      <c r="O36" s="137">
        <f>IF(A36="","",IF(D36=1,IFERROR(IF(N36="Probabilidad",(VLOOKUP(A36,'Mapa inherente'!$A$10:$M$38,9,FALSE)-(VLOOKUP(A36,'Mapa inherente'!$A$10:$M$38,9,FALSE)*M36)),IF(N36="Impacto",VLOOKUP(A36,'Mapa inherente'!$A$10:$M$38,9,FALSE),"")),""),
IFERROR(IF(N36="Probabilidad",(O35-(O35)*M36),O35),"")))</f>
        <v>0.20579999999999998</v>
      </c>
      <c r="P36" s="138" t="str">
        <f t="shared" si="0"/>
        <v>Baja</v>
      </c>
      <c r="Q36" s="137">
        <f>IF(A36="","",IF(D36=1,IFERROR(IF(N36="Impacto",(VLOOKUP(A36,'Mapa inherente'!$A$10:$M$38,13,FALSE)-(VLOOKUP(A36,'Mapa inherente'!$A$10:$M$38,13,FALSE)*M36)),IF(N36="Probabilidad",VLOOKUP(A36,'Mapa inherente'!$A$10:$M$38,13,FALSE),"")),""),
                   IFERROR(IF(N36="Impacto",(Q35-(Q35)*M36),Q35),"")))</f>
        <v>0.8</v>
      </c>
      <c r="R36" s="138" t="str">
        <f t="shared" si="1"/>
        <v>Mayor</v>
      </c>
      <c r="S36" s="138" t="str">
        <f t="shared" si="2"/>
        <v>Alto</v>
      </c>
      <c r="T36" s="139" t="s">
        <v>124</v>
      </c>
    </row>
    <row r="37" spans="1:20" ht="225" x14ac:dyDescent="0.25">
      <c r="A37" s="100">
        <v>11</v>
      </c>
      <c r="B37" s="101" t="str">
        <f>IF(A37="","",VLOOKUP(A37,'Mapa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37" s="102" t="str">
        <f>IF(A37="","",VLOOKUP(A37,'Mapa inherente'!$A$10:$N$38,14,FALSE))</f>
        <v>Alto</v>
      </c>
      <c r="D37" s="133">
        <f t="shared" si="3"/>
        <v>5</v>
      </c>
      <c r="E37" s="104" t="s">
        <v>315</v>
      </c>
      <c r="F37" s="104" t="s">
        <v>216</v>
      </c>
      <c r="G37" s="104" t="s">
        <v>316</v>
      </c>
      <c r="H37" s="105" t="s">
        <v>15</v>
      </c>
      <c r="I37" s="105" t="s">
        <v>9</v>
      </c>
      <c r="J37" s="105" t="s">
        <v>19</v>
      </c>
      <c r="K37" s="105" t="s">
        <v>21</v>
      </c>
      <c r="L37" s="105" t="s">
        <v>109</v>
      </c>
      <c r="M37" s="92" t="s">
        <v>317</v>
      </c>
      <c r="N37" s="93" t="s">
        <v>2</v>
      </c>
      <c r="O37" s="137">
        <f>IF(A37="","",IF(D37=1,IFERROR(IF(N37="Probabilidad",(VLOOKUP(A37,'Mapa inherente'!$A$10:$M$38,9,FALSE)-(VLOOKUP(A37,'Mapa inherente'!$A$10:$M$38,9,FALSE)*M37)),IF(N37="Impacto",VLOOKUP(A37,'Mapa inherente'!$A$10:$M$38,9,FALSE),"")),""),
IFERROR(IF(N37="Probabilidad",(O36-(O36)*M37),O36),"")))</f>
        <v>0.20579999999999998</v>
      </c>
      <c r="P37" s="138" t="str">
        <f t="shared" si="0"/>
        <v>Baja</v>
      </c>
      <c r="Q37" s="137">
        <f>IF(A37="","",IF(D37=1,IFERROR(IF(N37="Impacto",(VLOOKUP(A37,'Mapa inherente'!$A$10:$M$38,13,FALSE)-(VLOOKUP(A37,'Mapa inherente'!$A$10:$M$38,13,FALSE)*M37)),IF(N37="Probabilidad",VLOOKUP(A37,'Mapa inherente'!$A$10:$M$38,13,FALSE),"")),""),
                   IFERROR(IF(N37="Impacto",(Q36-(Q36)*M37),Q36),"")))</f>
        <v>0.60000000000000009</v>
      </c>
      <c r="R37" s="138" t="str">
        <f t="shared" si="1"/>
        <v>Moderado</v>
      </c>
      <c r="S37" s="138" t="str">
        <f t="shared" si="2"/>
        <v>Moderado</v>
      </c>
      <c r="T37" s="139" t="s">
        <v>124</v>
      </c>
    </row>
    <row r="38" spans="1:20" ht="225" x14ac:dyDescent="0.25">
      <c r="A38" s="100">
        <v>11</v>
      </c>
      <c r="B38" s="101" t="str">
        <f>IF(A38="","",VLOOKUP(A38,'Mapa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38" s="102" t="str">
        <f>IF(A38="","",VLOOKUP(A38,'Mapa inherente'!$A$10:$N$38,14,FALSE))</f>
        <v>Alto</v>
      </c>
      <c r="D38" s="133">
        <f t="shared" si="3"/>
        <v>6</v>
      </c>
      <c r="E38" s="104" t="s">
        <v>318</v>
      </c>
      <c r="F38" s="104" t="s">
        <v>216</v>
      </c>
      <c r="G38" s="104" t="s">
        <v>316</v>
      </c>
      <c r="H38" s="105" t="s">
        <v>15</v>
      </c>
      <c r="I38" s="105" t="s">
        <v>9</v>
      </c>
      <c r="J38" s="105" t="s">
        <v>19</v>
      </c>
      <c r="K38" s="105" t="s">
        <v>21</v>
      </c>
      <c r="L38" s="105" t="s">
        <v>109</v>
      </c>
      <c r="M38" s="92" t="s">
        <v>317</v>
      </c>
      <c r="N38" s="93" t="s">
        <v>2</v>
      </c>
      <c r="O38" s="137">
        <f>IF(A38="","",IF(D38=1,IFERROR(IF(N38="Probabilidad",(VLOOKUP(A38,'Mapa inherente'!$A$10:$M$38,9,FALSE)-(VLOOKUP(A38,'Mapa inherente'!$A$10:$M$38,9,FALSE)*M38)),IF(N38="Impacto",VLOOKUP(A38,'Mapa inherente'!$A$10:$M$38,9,FALSE),"")),""),
IFERROR(IF(N38="Probabilidad",(O37-(O37)*M38),O37),"")))</f>
        <v>0.20579999999999998</v>
      </c>
      <c r="P38" s="138" t="str">
        <f t="shared" si="0"/>
        <v>Baja</v>
      </c>
      <c r="Q38" s="137">
        <f>IF(A38="","",IF(D38=1,IFERROR(IF(N38="Impacto",(VLOOKUP(A38,'Mapa inherente'!$A$10:$M$38,13,FALSE)-(VLOOKUP(A38,'Mapa inherente'!$A$10:$M$38,13,FALSE)*M38)),IF(N38="Probabilidad",VLOOKUP(A38,'Mapa inherente'!$A$10:$M$38,13,FALSE),"")),""),
                   IFERROR(IF(N38="Impacto",(Q37-(Q37)*M38),Q37),"")))</f>
        <v>0.45000000000000007</v>
      </c>
      <c r="R38" s="138" t="str">
        <f t="shared" si="1"/>
        <v>Moderado</v>
      </c>
      <c r="S38" s="138" t="str">
        <f t="shared" si="2"/>
        <v>Moderado</v>
      </c>
      <c r="T38" s="139" t="s">
        <v>124</v>
      </c>
    </row>
    <row r="39" spans="1:20" ht="225" x14ac:dyDescent="0.25">
      <c r="A39" s="100">
        <v>11</v>
      </c>
      <c r="B39" s="101" t="str">
        <f>IF(A39="","",VLOOKUP(A39,'Mapa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39" s="102" t="str">
        <f>IF(A39="","",VLOOKUP(A39,'Mapa inherente'!$A$10:$N$38,14,FALSE))</f>
        <v>Alto</v>
      </c>
      <c r="D39" s="133">
        <f t="shared" si="3"/>
        <v>7</v>
      </c>
      <c r="E39" s="104" t="s">
        <v>319</v>
      </c>
      <c r="F39" s="104" t="s">
        <v>216</v>
      </c>
      <c r="G39" s="104" t="s">
        <v>316</v>
      </c>
      <c r="H39" s="105" t="s">
        <v>15</v>
      </c>
      <c r="I39" s="105" t="s">
        <v>9</v>
      </c>
      <c r="J39" s="105" t="s">
        <v>19</v>
      </c>
      <c r="K39" s="105" t="s">
        <v>21</v>
      </c>
      <c r="L39" s="105" t="s">
        <v>109</v>
      </c>
      <c r="M39" s="92" t="s">
        <v>317</v>
      </c>
      <c r="N39" s="93" t="s">
        <v>2</v>
      </c>
      <c r="O39" s="137">
        <f>IF(A39="","",IF(D39=1,IFERROR(IF(N39="Probabilidad",(VLOOKUP(A39,'Mapa inherente'!$A$10:$M$38,9,FALSE)-(VLOOKUP(A39,'Mapa inherente'!$A$10:$M$38,9,FALSE)*M39)),IF(N39="Impacto",VLOOKUP(A39,'Mapa inherente'!$A$10:$M$38,9,FALSE),"")),""),
IFERROR(IF(N39="Probabilidad",(O38-(O38)*M39),O38),"")))</f>
        <v>0.20579999999999998</v>
      </c>
      <c r="P39" s="138" t="str">
        <f t="shared" si="0"/>
        <v>Baja</v>
      </c>
      <c r="Q39" s="137">
        <f>IF(A39="","",IF(D39=1,IFERROR(IF(N39="Impacto",(VLOOKUP(A39,'Mapa inherente'!$A$10:$M$38,13,FALSE)-(VLOOKUP(A39,'Mapa inherente'!$A$10:$M$38,13,FALSE)*M39)),IF(N39="Probabilidad",VLOOKUP(A39,'Mapa inherente'!$A$10:$M$38,13,FALSE),"")),""),
                   IFERROR(IF(N39="Impacto",(Q38-(Q38)*M39),Q38),"")))</f>
        <v>0.33750000000000002</v>
      </c>
      <c r="R39" s="138" t="str">
        <f t="shared" si="1"/>
        <v>Menor</v>
      </c>
      <c r="S39" s="138" t="str">
        <f t="shared" si="2"/>
        <v>Moderado</v>
      </c>
      <c r="T39" s="139" t="s">
        <v>124</v>
      </c>
    </row>
    <row r="40" spans="1:20" ht="225" x14ac:dyDescent="0.25">
      <c r="A40" s="100">
        <v>11</v>
      </c>
      <c r="B40" s="101" t="str">
        <f>IF(A40="","",VLOOKUP(A40,'Mapa inherente'!$A$10:$E$38,5,FALSE))</f>
        <v>G. FINANCIERA. Posibilidad de afectación Económico y Reputacional por la Realización de tramites o gestiones internas sin el cumplimiento de los requisitos legales para el favorecimiento a terceros, debido a la Aceptación de dádiva o beneficio propio para permitir el uso inadecuado de información institucional</v>
      </c>
      <c r="C40" s="102" t="str">
        <f>IF(A40="","",VLOOKUP(A40,'Mapa inherente'!$A$10:$N$38,14,FALSE))</f>
        <v>Alto</v>
      </c>
      <c r="D40" s="133">
        <f t="shared" si="3"/>
        <v>8</v>
      </c>
      <c r="E40" s="104" t="s">
        <v>320</v>
      </c>
      <c r="F40" s="104" t="s">
        <v>214</v>
      </c>
      <c r="G40" s="104" t="s">
        <v>321</v>
      </c>
      <c r="H40" s="105" t="s">
        <v>15</v>
      </c>
      <c r="I40" s="105" t="s">
        <v>9</v>
      </c>
      <c r="J40" s="105" t="s">
        <v>19</v>
      </c>
      <c r="K40" s="105" t="s">
        <v>21</v>
      </c>
      <c r="L40" s="105" t="s">
        <v>109</v>
      </c>
      <c r="M40" s="92" t="s">
        <v>317</v>
      </c>
      <c r="N40" s="93" t="s">
        <v>2</v>
      </c>
      <c r="O40" s="137">
        <f>IF(A40="","",IF(D40=1,IFERROR(IF(N40="Probabilidad",(VLOOKUP(A40,'Mapa inherente'!$A$10:$M$38,9,FALSE)-(VLOOKUP(A40,'Mapa inherente'!$A$10:$M$38,9,FALSE)*M40)),IF(N40="Impacto",VLOOKUP(A40,'Mapa inherente'!$A$10:$M$38,9,FALSE),"")),""),
IFERROR(IF(N40="Probabilidad",(O39-(O39)*M40),O39),"")))</f>
        <v>0.20579999999999998</v>
      </c>
      <c r="P40" s="138" t="str">
        <f t="shared" si="0"/>
        <v>Baja</v>
      </c>
      <c r="Q40" s="137">
        <f>IF(A40="","",IF(D40=1,IFERROR(IF(N40="Impacto",(VLOOKUP(A40,'Mapa inherente'!$A$10:$M$38,13,FALSE)-(VLOOKUP(A40,'Mapa inherente'!$A$10:$M$38,13,FALSE)*M40)),IF(N40="Probabilidad",VLOOKUP(A40,'Mapa inherente'!$A$10:$M$38,13,FALSE),"")),""),
                   IFERROR(IF(N40="Impacto",(Q39-(Q39)*M40),Q39),"")))</f>
        <v>0.25312500000000004</v>
      </c>
      <c r="R40" s="138" t="str">
        <f t="shared" si="1"/>
        <v>Menor</v>
      </c>
      <c r="S40" s="138" t="str">
        <f t="shared" si="2"/>
        <v>Moderado</v>
      </c>
      <c r="T40" s="139" t="s">
        <v>29</v>
      </c>
    </row>
    <row r="41" spans="1:20" ht="267.75" x14ac:dyDescent="0.25">
      <c r="A41" s="100">
        <v>12</v>
      </c>
      <c r="B41" s="101" t="str">
        <f>IF(A41="","",VLOOKUP(A41,'Mapa inherente'!$A$10:$E$38,5,FALSE))</f>
        <v>G. LEGAL. Posibilidad de afectación reputacional de la Institución, por el incumplimiento de términos legales en etapas del proceso disciplinario</v>
      </c>
      <c r="C41" s="102" t="str">
        <f>IF(A41="","",VLOOKUP(A41,'Mapa inherente'!$A$10:$N$38,14,FALSE))</f>
        <v>Moderado</v>
      </c>
      <c r="D41" s="133">
        <f t="shared" si="3"/>
        <v>1</v>
      </c>
      <c r="E41" s="104" t="s">
        <v>326</v>
      </c>
      <c r="F41" s="104" t="s">
        <v>216</v>
      </c>
      <c r="G41" s="104" t="s">
        <v>327</v>
      </c>
      <c r="H41" s="134" t="s">
        <v>13</v>
      </c>
      <c r="I41" s="134" t="s">
        <v>9</v>
      </c>
      <c r="J41" s="134" t="s">
        <v>19</v>
      </c>
      <c r="K41" s="134" t="s">
        <v>21</v>
      </c>
      <c r="L41" s="134" t="s">
        <v>109</v>
      </c>
      <c r="M41" s="135" t="s">
        <v>246</v>
      </c>
      <c r="N41" s="136" t="s">
        <v>4</v>
      </c>
      <c r="O41" s="137">
        <f>IF(A41="","",IF(D41=1,IFERROR(IF(N41="Probabilidad",(VLOOKUP(A41,'Mapa inherente'!$A$10:$M$38,9,FALSE)-(VLOOKUP(A41,'Mapa inherente'!$A$10:$M$38,9,FALSE)*M41)),IF(N41="Impacto",VLOOKUP(A41,'Mapa inherente'!$A$10:$M$38,9,FALSE),"")),""),
IFERROR(IF(N41="Probabilidad",(O40-(O40)*M41),O40),"")))</f>
        <v>0.24</v>
      </c>
      <c r="P41" s="138" t="str">
        <f t="shared" si="0"/>
        <v>Baja</v>
      </c>
      <c r="Q41" s="137">
        <f>IF(A41="","",IF(D41=1,IFERROR(IF(N41="Impacto",(VLOOKUP(A41,'Mapa inherente'!$A$10:$M$38,13,FALSE)-(VLOOKUP(A41,'Mapa inherente'!$A$10:$M$38,13,FALSE)*M41)),IF(N41="Probabilidad",VLOOKUP(A41,'Mapa inherente'!$A$10:$M$38,13,FALSE),"")),""),
                   IFERROR(IF(N41="Impacto",(Q40-(Q40)*M41),Q40),"")))</f>
        <v>0.6</v>
      </c>
      <c r="R41" s="138" t="str">
        <f t="shared" si="1"/>
        <v>Moderado</v>
      </c>
      <c r="S41" s="138" t="str">
        <f t="shared" si="2"/>
        <v>Moderado</v>
      </c>
      <c r="T41" s="139" t="s">
        <v>124</v>
      </c>
    </row>
    <row r="42" spans="1:20" ht="174.75" customHeight="1" x14ac:dyDescent="0.25">
      <c r="A42" s="100">
        <v>12</v>
      </c>
      <c r="B42" s="101" t="str">
        <f>IF(A42="","",VLOOKUP(A42,'Mapa inherente'!$A$10:$E$38,5,FALSE))</f>
        <v>G. LEGAL. Posibilidad de afectación reputacional de la Institución, por el incumplimiento de términos legales en etapas del proceso disciplinario</v>
      </c>
      <c r="C42" s="102" t="str">
        <f>IF(A42="","",VLOOKUP(A42,'Mapa inherente'!$A$10:$N$38,14,FALSE))</f>
        <v>Moderado</v>
      </c>
      <c r="D42" s="133">
        <f t="shared" si="3"/>
        <v>2</v>
      </c>
      <c r="E42" s="104" t="s">
        <v>328</v>
      </c>
      <c r="F42" s="104" t="s">
        <v>216</v>
      </c>
      <c r="G42" s="104" t="s">
        <v>327</v>
      </c>
      <c r="H42" s="134" t="s">
        <v>13</v>
      </c>
      <c r="I42" s="134" t="s">
        <v>9</v>
      </c>
      <c r="J42" s="134" t="s">
        <v>19</v>
      </c>
      <c r="K42" s="134" t="s">
        <v>21</v>
      </c>
      <c r="L42" s="134" t="s">
        <v>109</v>
      </c>
      <c r="M42" s="135" t="s">
        <v>246</v>
      </c>
      <c r="N42" s="136" t="s">
        <v>4</v>
      </c>
      <c r="O42" s="137">
        <f>IF(A42="","",IF(D42=1,IFERROR(IF(N42="Probabilidad",(VLOOKUP(A42,'Mapa inherente'!$A$10:$M$38,9,FALSE)-(VLOOKUP(A42,'Mapa inherente'!$A$10:$M$38,9,FALSE)*M42)),IF(N42="Impacto",VLOOKUP(A42,'Mapa inherente'!$A$10:$M$38,9,FALSE),"")),""),
IFERROR(IF(N42="Probabilidad",(O41-(O41)*M42),O41),"")))</f>
        <v>0.14399999999999999</v>
      </c>
      <c r="P42" s="138" t="str">
        <f t="shared" si="0"/>
        <v>Muy Baja</v>
      </c>
      <c r="Q42" s="137">
        <f>IF(A42="","",IF(D42=1,IFERROR(IF(N42="Impacto",(VLOOKUP(A42,'Mapa inherente'!$A$10:$M$38,13,FALSE)-(VLOOKUP(A42,'Mapa inherente'!$A$10:$M$38,13,FALSE)*M42)),IF(N42="Probabilidad",VLOOKUP(A42,'Mapa inherente'!$A$10:$M$38,13,FALSE),"")),""),
                   IFERROR(IF(N42="Impacto",(Q41-(Q41)*M42),Q41),"")))</f>
        <v>0.6</v>
      </c>
      <c r="R42" s="138" t="str">
        <f t="shared" si="1"/>
        <v>Moderado</v>
      </c>
      <c r="S42" s="138" t="str">
        <f t="shared" si="2"/>
        <v>Moderado</v>
      </c>
      <c r="T42" s="139" t="s">
        <v>29</v>
      </c>
    </row>
    <row r="43" spans="1:20" ht="149.25" customHeight="1" x14ac:dyDescent="0.25">
      <c r="A43" s="100">
        <v>13</v>
      </c>
      <c r="B43" s="101" t="str">
        <f>IF(A43="","",VLOOKUP(A43,'Mapa inherente'!$A$10:$E$38,5,FALSE))</f>
        <v>G. LEGAL. Posibilidad de afectación reputacional al presentarse favorecimiento de candidatos en procesos electorales internos</v>
      </c>
      <c r="C43" s="102" t="str">
        <f>IF(A43="","",VLOOKUP(A43,'Mapa inherente'!$A$10:$N$38,14,FALSE))</f>
        <v>Moderado</v>
      </c>
      <c r="D43" s="133">
        <f t="shared" si="3"/>
        <v>1</v>
      </c>
      <c r="E43" s="104" t="s">
        <v>331</v>
      </c>
      <c r="F43" s="104" t="s">
        <v>214</v>
      </c>
      <c r="G43" s="104" t="s">
        <v>332</v>
      </c>
      <c r="H43" s="105" t="s">
        <v>13</v>
      </c>
      <c r="I43" s="105" t="s">
        <v>9</v>
      </c>
      <c r="J43" s="105" t="s">
        <v>18</v>
      </c>
      <c r="K43" s="105" t="s">
        <v>21</v>
      </c>
      <c r="L43" s="105" t="s">
        <v>109</v>
      </c>
      <c r="M43" s="92" t="str">
        <f t="shared" ref="M43:M50" si="8">IF(AND(H43="Preventivo",I43="Automático"),"50%",IF(AND(H43="Preventivo",I43="Manual"),"40%",IF(AND(H43="Detectivo",I43="Automático"),"40%",IF(AND(H43="Detectivo",I43="Manual"),"30%",IF(AND(H43="Correctivo",I43="Automático"),"35%",IF(AND(H43="Correctivo",I43="Manual"),"25%",""))))))</f>
        <v>40%</v>
      </c>
      <c r="N43" s="93" t="str">
        <f t="shared" ref="N43:N50" si="9">IF(OR(H43="Preventivo",H43="Detectivo"),"Probabilidad",IF(H43="Correctivo","Impacto",""))</f>
        <v>Probabilidad</v>
      </c>
      <c r="O43" s="137">
        <f>IF(A43="","",IF(D43=1,IFERROR(IF(N43="Probabilidad",(VLOOKUP(A43,'Mapa inherente'!$A$10:$M$38,9,FALSE)-(VLOOKUP(A43,'Mapa inherente'!$A$10:$M$38,9,FALSE)*M43)),IF(N43="Impacto",VLOOKUP(A43,'Mapa inherente'!$A$10:$M$38,9,FALSE),"")),""),
IFERROR(IF(N43="Probabilidad",(O42-(O42)*M43),O42),"")))</f>
        <v>0.24</v>
      </c>
      <c r="P43" s="138" t="str">
        <f t="shared" si="0"/>
        <v>Baja</v>
      </c>
      <c r="Q43" s="137">
        <f>IF(A43="","",IF(D43=1,IFERROR(IF(N43="Impacto",(VLOOKUP(A43,'Mapa inherente'!$A$10:$M$38,13,FALSE)-(VLOOKUP(A43,'Mapa inherente'!$A$10:$M$38,13,FALSE)*M43)),IF(N43="Probabilidad",VLOOKUP(A43,'Mapa inherente'!$A$10:$M$38,13,FALSE),"")),""),
                   IFERROR(IF(N43="Impacto",(Q42-(Q42)*M43),Q42),"")))</f>
        <v>0.4</v>
      </c>
      <c r="R43" s="138" t="str">
        <f t="shared" si="1"/>
        <v>Menor</v>
      </c>
      <c r="S43" s="138" t="str">
        <f t="shared" si="2"/>
        <v>Moderado</v>
      </c>
      <c r="T43" s="139" t="s">
        <v>29</v>
      </c>
    </row>
    <row r="44" spans="1:20" ht="280.5" customHeight="1" x14ac:dyDescent="0.25">
      <c r="A44" s="100">
        <v>14</v>
      </c>
      <c r="B44" s="101" t="str">
        <f>IF(A44="","",VLOOKUP(A44,'Mapa inherente'!$A$10:$E$38,5,FALSE))</f>
        <v>PLANEACIÓN. Posibilidad de afectación económica y reputacional por la ejecución indebida de proyectos de inversión para satisfacer intereses particulares o de terceros debido al tráfico de influencia, Amiguismo, clientelismo y/o soborno</v>
      </c>
      <c r="C44" s="102" t="str">
        <f>IF(A44="","",VLOOKUP(A44,'Mapa inherente'!$A$10:$N$38,14,FALSE))</f>
        <v>Moderado</v>
      </c>
      <c r="D44" s="133">
        <f t="shared" si="3"/>
        <v>1</v>
      </c>
      <c r="E44" s="104" t="s">
        <v>334</v>
      </c>
      <c r="F44" s="104" t="s">
        <v>213</v>
      </c>
      <c r="G44" s="104" t="s">
        <v>335</v>
      </c>
      <c r="H44" s="105" t="s">
        <v>13</v>
      </c>
      <c r="I44" s="105" t="s">
        <v>9</v>
      </c>
      <c r="J44" s="105" t="s">
        <v>18</v>
      </c>
      <c r="K44" s="105" t="s">
        <v>21</v>
      </c>
      <c r="L44" s="105" t="s">
        <v>109</v>
      </c>
      <c r="M44" s="92" t="str">
        <f t="shared" si="8"/>
        <v>40%</v>
      </c>
      <c r="N44" s="93" t="str">
        <f t="shared" si="9"/>
        <v>Probabilidad</v>
      </c>
      <c r="O44" s="137">
        <f>IF(A44="","",IF(D44=1,IFERROR(IF(N44="Probabilidad",(VLOOKUP(A44,'Mapa inherente'!$A$10:$M$38,9,FALSE)-(VLOOKUP(A44,'Mapa inherente'!$A$10:$M$38,9,FALSE)*M44)),IF(N44="Impacto",VLOOKUP(A44,'Mapa inherente'!$A$10:$M$38,9,FALSE),"")),""),
IFERROR(IF(N44="Probabilidad",(O43-(O43)*M44),O43),"")))</f>
        <v>0.36</v>
      </c>
      <c r="P44" s="138" t="str">
        <f t="shared" si="0"/>
        <v>Baja</v>
      </c>
      <c r="Q44" s="137">
        <f>IF(A44="","",IF(D44=1,IFERROR(IF(N44="Impacto",(VLOOKUP(A44,'Mapa inherente'!$A$10:$M$38,13,FALSE)-(VLOOKUP(A44,'Mapa inherente'!$A$10:$M$38,13,FALSE)*M44)),IF(N44="Probabilidad",VLOOKUP(A44,'Mapa inherente'!$A$10:$M$38,13,FALSE),"")),""),
                   IFERROR(IF(N44="Impacto",(Q43-(Q43)*M44),Q43),"")))</f>
        <v>0.6</v>
      </c>
      <c r="R44" s="138" t="str">
        <f t="shared" si="1"/>
        <v>Moderado</v>
      </c>
      <c r="S44" s="138" t="str">
        <f t="shared" si="2"/>
        <v>Moderado</v>
      </c>
      <c r="T44" s="139" t="s">
        <v>124</v>
      </c>
    </row>
    <row r="45" spans="1:20" ht="214.5" customHeight="1" x14ac:dyDescent="0.25">
      <c r="A45" s="100">
        <v>14</v>
      </c>
      <c r="B45" s="101" t="str">
        <f>IF(A45="","",VLOOKUP(A45,'Mapa inherente'!$A$10:$E$38,5,FALSE))</f>
        <v>PLANEACIÓN. Posibilidad de afectación económica y reputacional por la ejecución indebida de proyectos de inversión para satisfacer intereses particulares o de terceros debido al tráfico de influencia, Amiguismo, clientelismo y/o soborno</v>
      </c>
      <c r="C45" s="102" t="str">
        <f>IF(A45="","",VLOOKUP(A45,'Mapa inherente'!$A$10:$N$38,14,FALSE))</f>
        <v>Moderado</v>
      </c>
      <c r="D45" s="133">
        <f t="shared" si="3"/>
        <v>2</v>
      </c>
      <c r="E45" s="104" t="s">
        <v>336</v>
      </c>
      <c r="F45" s="104" t="s">
        <v>215</v>
      </c>
      <c r="G45" s="104" t="s">
        <v>337</v>
      </c>
      <c r="H45" s="105" t="s">
        <v>13</v>
      </c>
      <c r="I45" s="105" t="s">
        <v>10</v>
      </c>
      <c r="J45" s="105" t="s">
        <v>18</v>
      </c>
      <c r="K45" s="105" t="s">
        <v>21</v>
      </c>
      <c r="L45" s="105" t="s">
        <v>109</v>
      </c>
      <c r="M45" s="92" t="str">
        <f t="shared" si="8"/>
        <v>50%</v>
      </c>
      <c r="N45" s="93" t="str">
        <f t="shared" si="9"/>
        <v>Probabilidad</v>
      </c>
      <c r="O45" s="137">
        <f>IF(A45="","",IF(D45=1,IFERROR(IF(N45="Probabilidad",(VLOOKUP(A45,'Mapa inherente'!$A$10:$M$38,9,FALSE)-(VLOOKUP(A45,'Mapa inherente'!$A$10:$M$38,9,FALSE)*M45)),IF(N45="Impacto",VLOOKUP(A45,'Mapa inherente'!$A$10:$M$38,9,FALSE),"")),""),
IFERROR(IF(N45="Probabilidad",(O44-(O44)*M45),O44),"")))</f>
        <v>0.18</v>
      </c>
      <c r="P45" s="138" t="str">
        <f t="shared" si="0"/>
        <v>Muy Baja</v>
      </c>
      <c r="Q45" s="137">
        <f>IF(A45="","",IF(D45=1,IFERROR(IF(N45="Impacto",(VLOOKUP(A45,'Mapa inherente'!$A$10:$M$38,13,FALSE)-(VLOOKUP(A45,'Mapa inherente'!$A$10:$M$38,13,FALSE)*M45)),IF(N45="Probabilidad",VLOOKUP(A45,'Mapa inherente'!$A$10:$M$38,13,FALSE),"")),""),
                   IFERROR(IF(N45="Impacto",(Q44-(Q44)*M45),Q44),"")))</f>
        <v>0.6</v>
      </c>
      <c r="R45" s="138" t="str">
        <f t="shared" si="1"/>
        <v>Moderado</v>
      </c>
      <c r="S45" s="138" t="str">
        <f t="shared" si="2"/>
        <v>Moderado</v>
      </c>
      <c r="T45" s="139" t="s">
        <v>124</v>
      </c>
    </row>
    <row r="46" spans="1:20" ht="229.5" x14ac:dyDescent="0.25">
      <c r="A46" s="100">
        <v>14</v>
      </c>
      <c r="B46" s="101" t="str">
        <f>IF(A46="","",VLOOKUP(A46,'Mapa inherente'!$A$10:$E$38,5,FALSE))</f>
        <v>PLANEACIÓN. Posibilidad de afectación económica y reputacional por la ejecución indebida de proyectos de inversión para satisfacer intereses particulares o de terceros debido al tráfico de influencia, Amiguismo, clientelismo y/o soborno</v>
      </c>
      <c r="C46" s="102" t="str">
        <f>IF(A46="","",VLOOKUP(A46,'Mapa inherente'!$A$10:$N$38,14,FALSE))</f>
        <v>Moderado</v>
      </c>
      <c r="D46" s="133">
        <f t="shared" ref="D46:D109" si="10">IF(B46="","",IF(B46=B45,D45+1,1))</f>
        <v>3</v>
      </c>
      <c r="E46" s="104" t="s">
        <v>338</v>
      </c>
      <c r="F46" s="104" t="s">
        <v>215</v>
      </c>
      <c r="G46" s="104" t="s">
        <v>339</v>
      </c>
      <c r="H46" s="105" t="s">
        <v>15</v>
      </c>
      <c r="I46" s="105" t="s">
        <v>10</v>
      </c>
      <c r="J46" s="105" t="s">
        <v>18</v>
      </c>
      <c r="K46" s="105" t="s">
        <v>21</v>
      </c>
      <c r="L46" s="105" t="s">
        <v>109</v>
      </c>
      <c r="M46" s="92" t="str">
        <f t="shared" si="8"/>
        <v>35%</v>
      </c>
      <c r="N46" s="93" t="str">
        <f t="shared" si="9"/>
        <v>Impacto</v>
      </c>
      <c r="O46" s="137">
        <f>IF(A46="","",IF(D46=1,IFERROR(IF(N46="Probabilidad",(VLOOKUP(A46,'Mapa inherente'!$A$10:$M$38,9,FALSE)-(VLOOKUP(A46,'Mapa inherente'!$A$10:$M$38,9,FALSE)*M46)),IF(N46="Impacto",VLOOKUP(A46,'Mapa inherente'!$A$10:$M$38,9,FALSE),"")),""),
IFERROR(IF(N46="Probabilidad",(O45-(O45)*M46),O45),"")))</f>
        <v>0.18</v>
      </c>
      <c r="P46" s="138" t="str">
        <f t="shared" ref="P46:P109" si="11">IFERROR(IF(O46="","",IF(O46&lt;=0.2,"Muy Baja",IF(O46&lt;=0.4,"Baja",IF(O46&lt;=0.6,"Media",IF(O46&lt;=0.8,"Alta","Muy Alta"))))),"")</f>
        <v>Muy Baja</v>
      </c>
      <c r="Q46" s="137">
        <f>IF(A46="","",IF(D46=1,IFERROR(IF(N46="Impacto",(VLOOKUP(A46,'Mapa inherente'!$A$10:$M$38,13,FALSE)-(VLOOKUP(A46,'Mapa inherente'!$A$10:$M$38,13,FALSE)*M46)),IF(N46="Probabilidad",VLOOKUP(A46,'Mapa inherente'!$A$10:$M$38,13,FALSE),"")),""),
                   IFERROR(IF(N46="Impacto",(Q45-(Q45)*M46),Q45),"")))</f>
        <v>0.39</v>
      </c>
      <c r="R46" s="138" t="str">
        <f t="shared" ref="R46:R109" si="12">IFERROR(IF(Q46="","",IF(Q46&lt;=0.2,"Leve",IF(Q46&lt;=0.4,"Menor",IF(Q46&lt;=0.6,"Moderado",IF(Q46&lt;=0.8,"Mayor","Catastrófico"))))),"")</f>
        <v>Menor</v>
      </c>
      <c r="S46" s="138" t="str">
        <f t="shared" ref="S46:S109" si="13">IFERROR(IF(OR(AND(P46="Muy Baja",R46="Leve"),AND(P46="Muy Baja",R46="Menor"),AND(P46="Baja",R46="Leve")),"Bajo",IF(OR(AND(P46="Muy baja",R46="Moderado"),AND(P46="Baja",R46="Menor"),AND(P46="Baja",R46="Moderado"),AND(P46="Media",R46="Leve"),AND(P46="Media",R46="Menor"),AND(P46="Media",R46="Moderado"),AND(P46="Alta",R46="Leve"),AND(P46="Alta",R46="Menor")),"Moderado",IF(OR(AND(P46="Muy Baja",R46="Mayor"),AND(P46="Baja",R46="Mayor"),AND(P46="Media",R46="Mayor"),AND(P46="Alta",R46="Moderado"),AND(P46="Alta",R46="Mayor"),AND(P46="Muy Alta",R46="Leve"),AND(P46="Muy Alta",R46="Menor"),AND(P46="Muy Alta",R46="Moderado"),AND(P46="Muy Alta",R46="Mayor")),"Alto",IF(OR(AND(P46="Muy Baja",R46="Catastrófico"),AND(P46="Baja",R46="Catastrófico"),AND(P46="Media",R46="Catastrófico"),AND(P46="Alta",R46="Catastrófico"),AND(P46="Muy Alta",R46="Catastrófico")),"Extremo","")))),"")</f>
        <v>Bajo</v>
      </c>
      <c r="T46" s="139" t="s">
        <v>29</v>
      </c>
    </row>
    <row r="47" spans="1:20" ht="178.5" x14ac:dyDescent="0.25">
      <c r="A47" s="100">
        <v>15</v>
      </c>
      <c r="B47" s="101" t="str">
        <f>IF(A47="","",VLOOKUP(A47,'Mapa inherente'!$A$10:$E$38,5,FALSE))</f>
        <v>SEGUIMIENTO Y CONTROL. Posibilidad de afectación económica y reputacional por la Omisión en los informes de control interno de hallazgos fiscales, misionales o ambientales detectados por causa de conflicto de intereses.</v>
      </c>
      <c r="C47" s="102" t="str">
        <f>IF(A47="","",VLOOKUP(A47,'Mapa inherente'!$A$10:$N$38,14,FALSE))</f>
        <v>Alto</v>
      </c>
      <c r="D47" s="133">
        <f t="shared" si="10"/>
        <v>1</v>
      </c>
      <c r="E47" s="104" t="s">
        <v>343</v>
      </c>
      <c r="F47" s="104" t="s">
        <v>215</v>
      </c>
      <c r="G47" s="104" t="s">
        <v>344</v>
      </c>
      <c r="H47" s="105" t="s">
        <v>13</v>
      </c>
      <c r="I47" s="105" t="s">
        <v>9</v>
      </c>
      <c r="J47" s="105" t="s">
        <v>18</v>
      </c>
      <c r="K47" s="105" t="s">
        <v>21</v>
      </c>
      <c r="L47" s="105" t="s">
        <v>109</v>
      </c>
      <c r="M47" s="92" t="str">
        <f t="shared" si="8"/>
        <v>40%</v>
      </c>
      <c r="N47" s="93" t="str">
        <f t="shared" si="9"/>
        <v>Probabilidad</v>
      </c>
      <c r="O47" s="137">
        <f>IF(A47="","",IF(D47=1,IFERROR(IF(N47="Probabilidad",(VLOOKUP(A47,'Mapa inherente'!$A$10:$M$38,9,FALSE)-(VLOOKUP(A47,'Mapa inherente'!$A$10:$M$38,9,FALSE)*M47)),IF(N47="Impacto",VLOOKUP(A47,'Mapa inherente'!$A$10:$M$38,9,FALSE),"")),""),
IFERROR(IF(N47="Probabilidad",(O46-(O46)*M47),O46),"")))</f>
        <v>0.24</v>
      </c>
      <c r="P47" s="138" t="str">
        <f t="shared" si="11"/>
        <v>Baja</v>
      </c>
      <c r="Q47" s="137">
        <f>IF(A47="","",IF(D47=1,IFERROR(IF(N47="Impacto",(VLOOKUP(A47,'Mapa inherente'!$A$10:$M$38,13,FALSE)-(VLOOKUP(A47,'Mapa inherente'!$A$10:$M$38,13,FALSE)*M47)),IF(N47="Probabilidad",VLOOKUP(A47,'Mapa inherente'!$A$10:$M$38,13,FALSE),"")),""),
                   IFERROR(IF(N47="Impacto",(Q46-(Q46)*M47),Q46),"")))</f>
        <v>0.8</v>
      </c>
      <c r="R47" s="138" t="str">
        <f t="shared" si="12"/>
        <v>Mayor</v>
      </c>
      <c r="S47" s="138" t="str">
        <f t="shared" si="13"/>
        <v>Alto</v>
      </c>
      <c r="T47" s="106" t="s">
        <v>124</v>
      </c>
    </row>
    <row r="48" spans="1:20" ht="197.25" customHeight="1" x14ac:dyDescent="0.25">
      <c r="A48" s="100">
        <v>15</v>
      </c>
      <c r="B48" s="101" t="str">
        <f>IF(A48="","",VLOOKUP(A48,'Mapa inherente'!$A$10:$E$38,5,FALSE))</f>
        <v>SEGUIMIENTO Y CONTROL. Posibilidad de afectación económica y reputacional por la Omisión en los informes de control interno de hallazgos fiscales, misionales o ambientales detectados por causa de conflicto de intereses.</v>
      </c>
      <c r="C48" s="102" t="str">
        <f>IF(A48="","",VLOOKUP(A48,'Mapa inherente'!$A$10:$N$38,14,FALSE))</f>
        <v>Alto</v>
      </c>
      <c r="D48" s="133">
        <f t="shared" si="10"/>
        <v>2</v>
      </c>
      <c r="E48" s="104" t="s">
        <v>345</v>
      </c>
      <c r="F48" s="104" t="s">
        <v>214</v>
      </c>
      <c r="G48" s="104" t="s">
        <v>346</v>
      </c>
      <c r="H48" s="105" t="s">
        <v>15</v>
      </c>
      <c r="I48" s="105" t="s">
        <v>9</v>
      </c>
      <c r="J48" s="105" t="s">
        <v>19</v>
      </c>
      <c r="K48" s="105" t="s">
        <v>21</v>
      </c>
      <c r="L48" s="105" t="s">
        <v>109</v>
      </c>
      <c r="M48" s="92" t="str">
        <f t="shared" si="8"/>
        <v>25%</v>
      </c>
      <c r="N48" s="93" t="str">
        <f t="shared" si="9"/>
        <v>Impacto</v>
      </c>
      <c r="O48" s="137">
        <f>IF(A48="","",IF(D48=1,IFERROR(IF(N48="Probabilidad",(VLOOKUP(A48,'Mapa inherente'!$A$10:$M$38,9,FALSE)-(VLOOKUP(A48,'Mapa inherente'!$A$10:$M$38,9,FALSE)*M48)),IF(N48="Impacto",VLOOKUP(A48,'Mapa inherente'!$A$10:$M$38,9,FALSE),"")),""),
IFERROR(IF(N48="Probabilidad",(O47-(O47)*M48),O47),"")))</f>
        <v>0.24</v>
      </c>
      <c r="P48" s="138" t="str">
        <f t="shared" si="11"/>
        <v>Baja</v>
      </c>
      <c r="Q48" s="137">
        <f>IF(A48="","",IF(D48=1,IFERROR(IF(N48="Impacto",(VLOOKUP(A48,'Mapa inherente'!$A$10:$M$38,13,FALSE)-(VLOOKUP(A48,'Mapa inherente'!$A$10:$M$38,13,FALSE)*M48)),IF(N48="Probabilidad",VLOOKUP(A48,'Mapa inherente'!$A$10:$M$38,13,FALSE),"")),""),
                   IFERROR(IF(N48="Impacto",(Q47-(Q47)*M48),Q47),"")))</f>
        <v>0.60000000000000009</v>
      </c>
      <c r="R48" s="138" t="str">
        <f t="shared" si="12"/>
        <v>Moderado</v>
      </c>
      <c r="S48" s="138" t="str">
        <f t="shared" si="13"/>
        <v>Moderado</v>
      </c>
      <c r="T48" s="106" t="s">
        <v>124</v>
      </c>
    </row>
    <row r="49" spans="1:20" ht="267.75" x14ac:dyDescent="0.25">
      <c r="A49" s="100">
        <v>15</v>
      </c>
      <c r="B49" s="101" t="str">
        <f>IF(A49="","",VLOOKUP(A49,'Mapa inherente'!$A$10:$E$38,5,FALSE))</f>
        <v>SEGUIMIENTO Y CONTROL. Posibilidad de afectación económica y reputacional por la Omisión en los informes de control interno de hallazgos fiscales, misionales o ambientales detectados por causa de conflicto de intereses.</v>
      </c>
      <c r="C49" s="102" t="str">
        <f>IF(A49="","",VLOOKUP(A49,'Mapa inherente'!$A$10:$N$38,14,FALSE))</f>
        <v>Alto</v>
      </c>
      <c r="D49" s="133">
        <f t="shared" si="10"/>
        <v>3</v>
      </c>
      <c r="E49" s="104" t="s">
        <v>347</v>
      </c>
      <c r="F49" s="104" t="s">
        <v>214</v>
      </c>
      <c r="G49" s="104" t="s">
        <v>348</v>
      </c>
      <c r="H49" s="105" t="s">
        <v>15</v>
      </c>
      <c r="I49" s="105" t="s">
        <v>9</v>
      </c>
      <c r="J49" s="105" t="s">
        <v>19</v>
      </c>
      <c r="K49" s="105" t="s">
        <v>21</v>
      </c>
      <c r="L49" s="105" t="s">
        <v>109</v>
      </c>
      <c r="M49" s="92" t="str">
        <f t="shared" si="8"/>
        <v>25%</v>
      </c>
      <c r="N49" s="93" t="str">
        <f t="shared" si="9"/>
        <v>Impacto</v>
      </c>
      <c r="O49" s="137">
        <f>IF(A49="","",IF(D49=1,IFERROR(IF(N49="Probabilidad",(VLOOKUP(A49,'Mapa inherente'!$A$10:$M$38,9,FALSE)-(VLOOKUP(A49,'Mapa inherente'!$A$10:$M$38,9,FALSE)*M49)),IF(N49="Impacto",VLOOKUP(A49,'Mapa inherente'!$A$10:$M$38,9,FALSE),"")),""),
IFERROR(IF(N49="Probabilidad",(O48-(O48)*M49),O48),"")))</f>
        <v>0.24</v>
      </c>
      <c r="P49" s="138" t="str">
        <f t="shared" si="11"/>
        <v>Baja</v>
      </c>
      <c r="Q49" s="137">
        <f>IF(A49="","",IF(D49=1,IFERROR(IF(N49="Impacto",(VLOOKUP(A49,'Mapa inherente'!$A$10:$M$38,13,FALSE)-(VLOOKUP(A49,'Mapa inherente'!$A$10:$M$38,13,FALSE)*M49)),IF(N49="Probabilidad",VLOOKUP(A49,'Mapa inherente'!$A$10:$M$38,13,FALSE),"")),""),
                   IFERROR(IF(N49="Impacto",(Q48-(Q48)*M49),Q48),"")))</f>
        <v>0.45000000000000007</v>
      </c>
      <c r="R49" s="138" t="str">
        <f t="shared" si="12"/>
        <v>Moderado</v>
      </c>
      <c r="S49" s="138" t="str">
        <f t="shared" si="13"/>
        <v>Moderado</v>
      </c>
      <c r="T49" s="106" t="s">
        <v>124</v>
      </c>
    </row>
    <row r="50" spans="1:20" ht="224.25" customHeight="1" x14ac:dyDescent="0.25">
      <c r="A50" s="100">
        <v>15</v>
      </c>
      <c r="B50" s="101" t="str">
        <f>IF(A50="","",VLOOKUP(A50,'Mapa inherente'!$A$10:$E$38,5,FALSE))</f>
        <v>SEGUIMIENTO Y CONTROL. Posibilidad de afectación económica y reputacional por la Omisión en los informes de control interno de hallazgos fiscales, misionales o ambientales detectados por causa de conflicto de intereses.</v>
      </c>
      <c r="C50" s="102" t="str">
        <f>IF(A50="","",VLOOKUP(A50,'Mapa inherente'!$A$10:$N$38,14,FALSE))</f>
        <v>Alto</v>
      </c>
      <c r="D50" s="133">
        <f t="shared" si="10"/>
        <v>4</v>
      </c>
      <c r="E50" s="104" t="s">
        <v>349</v>
      </c>
      <c r="F50" s="104" t="s">
        <v>214</v>
      </c>
      <c r="G50" s="104" t="s">
        <v>350</v>
      </c>
      <c r="H50" s="105" t="s">
        <v>15</v>
      </c>
      <c r="I50" s="105" t="s">
        <v>9</v>
      </c>
      <c r="J50" s="105" t="s">
        <v>18</v>
      </c>
      <c r="K50" s="105" t="s">
        <v>21</v>
      </c>
      <c r="L50" s="105" t="s">
        <v>109</v>
      </c>
      <c r="M50" s="92" t="str">
        <f t="shared" si="8"/>
        <v>25%</v>
      </c>
      <c r="N50" s="93" t="str">
        <f t="shared" si="9"/>
        <v>Impacto</v>
      </c>
      <c r="O50" s="137">
        <f>IF(A50="","",IF(D50=1,IFERROR(IF(N50="Probabilidad",(VLOOKUP(A50,'Mapa inherente'!$A$10:$M$38,9,FALSE)-(VLOOKUP(A50,'Mapa inherente'!$A$10:$M$38,9,FALSE)*M50)),IF(N50="Impacto",VLOOKUP(A50,'Mapa inherente'!$A$10:$M$38,9,FALSE),"")),""),
IFERROR(IF(N50="Probabilidad",(O49-(O49)*M50),O49),"")))</f>
        <v>0.24</v>
      </c>
      <c r="P50" s="138" t="str">
        <f t="shared" si="11"/>
        <v>Baja</v>
      </c>
      <c r="Q50" s="137">
        <f>IF(A50="","",IF(D50=1,IFERROR(IF(N50="Impacto",(VLOOKUP(A50,'Mapa inherente'!$A$10:$M$38,13,FALSE)-(VLOOKUP(A50,'Mapa inherente'!$A$10:$M$38,13,FALSE)*M50)),IF(N50="Probabilidad",VLOOKUP(A50,'Mapa inherente'!$A$10:$M$38,13,FALSE),"")),""),
                   IFERROR(IF(N50="Impacto",(Q49-(Q49)*M50),Q49),"")))</f>
        <v>0.33750000000000002</v>
      </c>
      <c r="R50" s="138" t="str">
        <f t="shared" si="12"/>
        <v>Menor</v>
      </c>
      <c r="S50" s="138" t="str">
        <f t="shared" si="13"/>
        <v>Moderado</v>
      </c>
      <c r="T50" s="106" t="s">
        <v>29</v>
      </c>
    </row>
    <row r="51" spans="1:20" ht="277.5" customHeight="1" x14ac:dyDescent="0.25">
      <c r="A51" s="100">
        <v>16</v>
      </c>
      <c r="B51" s="101" t="str">
        <f>IF(A51="","",VLOOKUP(A51,'Mapa inherente'!$A$10:$E$38,5,FALSE))</f>
        <v>BIBLIOTECA. Posibilidad de afectación económico y reputacional por la modificación o suspensión de multas, cuotas o saldos pendientes sin que estas hayan sido pagadas por parte de los usuarios bien sea por abuso de poder o extralimitacion de las funciones de los funcionarios encargados.</v>
      </c>
      <c r="C51" s="102" t="str">
        <f>IF(A51="","",VLOOKUP(A51,'Mapa inherente'!$A$10:$N$38,14,FALSE))</f>
        <v>Moderado</v>
      </c>
      <c r="D51" s="133">
        <f t="shared" si="10"/>
        <v>1</v>
      </c>
      <c r="E51" s="104" t="s">
        <v>354</v>
      </c>
      <c r="F51" s="104" t="s">
        <v>213</v>
      </c>
      <c r="G51" s="104" t="s">
        <v>355</v>
      </c>
      <c r="H51" s="134" t="s">
        <v>13</v>
      </c>
      <c r="I51" s="134" t="s">
        <v>9</v>
      </c>
      <c r="J51" s="134" t="s">
        <v>18</v>
      </c>
      <c r="K51" s="134" t="s">
        <v>21</v>
      </c>
      <c r="L51" s="134" t="s">
        <v>109</v>
      </c>
      <c r="M51" s="135" t="s">
        <v>246</v>
      </c>
      <c r="N51" s="136" t="s">
        <v>4</v>
      </c>
      <c r="O51" s="137">
        <f>IF(A51="","",IF(D51=1,IFERROR(IF(N51="Probabilidad",(VLOOKUP(A51,'Mapa inherente'!$A$10:$M$38,9,FALSE)-(VLOOKUP(A51,'Mapa inherente'!$A$10:$M$38,9,FALSE)*M51)),IF(N51="Impacto",VLOOKUP(A51,'Mapa inherente'!$A$10:$M$38,9,FALSE),"")),""),
IFERROR(IF(N51="Probabilidad",(O50-(O50)*M51),O50),"")))</f>
        <v>0.48</v>
      </c>
      <c r="P51" s="138" t="str">
        <f t="shared" si="11"/>
        <v>Media</v>
      </c>
      <c r="Q51" s="137">
        <f>IF(A51="","",IF(D51=1,IFERROR(IF(N51="Impacto",(VLOOKUP(A51,'Mapa inherente'!$A$10:$M$38,13,FALSE)-(VLOOKUP(A51,'Mapa inherente'!$A$10:$M$38,13,FALSE)*M51)),IF(N51="Probabilidad",VLOOKUP(A51,'Mapa inherente'!$A$10:$M$38,13,FALSE),"")),""),
                   IFERROR(IF(N51="Impacto",(Q50-(Q50)*M51),Q50),"")))</f>
        <v>0.4</v>
      </c>
      <c r="R51" s="138" t="str">
        <f t="shared" si="12"/>
        <v>Menor</v>
      </c>
      <c r="S51" s="138" t="str">
        <f t="shared" si="13"/>
        <v>Moderado</v>
      </c>
      <c r="T51" s="139" t="s">
        <v>124</v>
      </c>
    </row>
    <row r="52" spans="1:20" ht="234" customHeight="1" x14ac:dyDescent="0.25">
      <c r="A52" s="100">
        <v>16</v>
      </c>
      <c r="B52" s="101" t="str">
        <f>IF(A52="","",VLOOKUP(A52,'Mapa inherente'!$A$10:$E$38,5,FALSE))</f>
        <v>BIBLIOTECA. Posibilidad de afectación económico y reputacional por la modificación o suspensión de multas, cuotas o saldos pendientes sin que estas hayan sido pagadas por parte de los usuarios bien sea por abuso de poder o extralimitacion de las funciones de los funcionarios encargados.</v>
      </c>
      <c r="C52" s="102" t="str">
        <f>IF(A52="","",VLOOKUP(A52,'Mapa inherente'!$A$10:$N$38,14,FALSE))</f>
        <v>Moderado</v>
      </c>
      <c r="D52" s="133">
        <f t="shared" si="10"/>
        <v>2</v>
      </c>
      <c r="E52" s="104" t="s">
        <v>356</v>
      </c>
      <c r="F52" s="104" t="s">
        <v>213</v>
      </c>
      <c r="G52" s="104" t="s">
        <v>357</v>
      </c>
      <c r="H52" s="134" t="s">
        <v>13</v>
      </c>
      <c r="I52" s="134" t="s">
        <v>9</v>
      </c>
      <c r="J52" s="134" t="s">
        <v>18</v>
      </c>
      <c r="K52" s="134" t="s">
        <v>21</v>
      </c>
      <c r="L52" s="134" t="s">
        <v>109</v>
      </c>
      <c r="M52" s="135" t="s">
        <v>246</v>
      </c>
      <c r="N52" s="136" t="s">
        <v>4</v>
      </c>
      <c r="O52" s="137">
        <f>IF(A52="","",IF(D52=1,IFERROR(IF(N52="Probabilidad",(VLOOKUP(A52,'Mapa inherente'!$A$10:$M$38,9,FALSE)-(VLOOKUP(A52,'Mapa inherente'!$A$10:$M$38,9,FALSE)*M52)),IF(N52="Impacto",VLOOKUP(A52,'Mapa inherente'!$A$10:$M$38,9,FALSE),"")),""),
IFERROR(IF(N52="Probabilidad",(O51-(O51)*M52),O51),"")))</f>
        <v>0.28799999999999998</v>
      </c>
      <c r="P52" s="138" t="str">
        <f t="shared" si="11"/>
        <v>Baja</v>
      </c>
      <c r="Q52" s="137">
        <f>IF(A52="","",IF(D52=1,IFERROR(IF(N52="Impacto",(VLOOKUP(A52,'Mapa inherente'!$A$10:$M$38,13,FALSE)-(VLOOKUP(A52,'Mapa inherente'!$A$10:$M$38,13,FALSE)*M52)),IF(N52="Probabilidad",VLOOKUP(A52,'Mapa inherente'!$A$10:$M$38,13,FALSE),"")),""),
                   IFERROR(IF(N52="Impacto",(Q51-(Q51)*M52),Q51),"")))</f>
        <v>0.4</v>
      </c>
      <c r="R52" s="138" t="str">
        <f t="shared" si="12"/>
        <v>Menor</v>
      </c>
      <c r="S52" s="138" t="str">
        <f t="shared" si="13"/>
        <v>Moderado</v>
      </c>
      <c r="T52" s="139" t="s">
        <v>124</v>
      </c>
    </row>
    <row r="53" spans="1:20" ht="253.5" customHeight="1" x14ac:dyDescent="0.25">
      <c r="A53" s="100">
        <v>16</v>
      </c>
      <c r="B53" s="101" t="str">
        <f>IF(A53="","",VLOOKUP(A53,'Mapa inherente'!$A$10:$E$38,5,FALSE))</f>
        <v>BIBLIOTECA. Posibilidad de afectación económico y reputacional por la modificación o suspensión de multas, cuotas o saldos pendientes sin que estas hayan sido pagadas por parte de los usuarios bien sea por abuso de poder o extralimitacion de las funciones de los funcionarios encargados.</v>
      </c>
      <c r="C53" s="102" t="str">
        <f>IF(A53="","",VLOOKUP(A53,'Mapa inherente'!$A$10:$N$38,14,FALSE))</f>
        <v>Moderado</v>
      </c>
      <c r="D53" s="133">
        <f t="shared" si="10"/>
        <v>3</v>
      </c>
      <c r="E53" s="104" t="s">
        <v>358</v>
      </c>
      <c r="F53" s="104" t="s">
        <v>213</v>
      </c>
      <c r="G53" s="104" t="s">
        <v>359</v>
      </c>
      <c r="H53" s="134" t="s">
        <v>13</v>
      </c>
      <c r="I53" s="134" t="s">
        <v>9</v>
      </c>
      <c r="J53" s="134" t="s">
        <v>19</v>
      </c>
      <c r="K53" s="134" t="s">
        <v>21</v>
      </c>
      <c r="L53" s="134" t="s">
        <v>109</v>
      </c>
      <c r="M53" s="135" t="s">
        <v>246</v>
      </c>
      <c r="N53" s="136" t="s">
        <v>4</v>
      </c>
      <c r="O53" s="137">
        <f>IF(A53="","",IF(D53=1,IFERROR(IF(N53="Probabilidad",(VLOOKUP(A53,'Mapa inherente'!$A$10:$M$38,9,FALSE)-(VLOOKUP(A53,'Mapa inherente'!$A$10:$M$38,9,FALSE)*M53)),IF(N53="Impacto",VLOOKUP(A53,'Mapa inherente'!$A$10:$M$38,9,FALSE),"")),""),
IFERROR(IF(N53="Probabilidad",(O52-(O52)*M53),O52),"")))</f>
        <v>0.17279999999999998</v>
      </c>
      <c r="P53" s="138" t="str">
        <f t="shared" si="11"/>
        <v>Muy Baja</v>
      </c>
      <c r="Q53" s="137">
        <f>IF(A53="","",IF(D53=1,IFERROR(IF(N53="Impacto",(VLOOKUP(A53,'Mapa inherente'!$A$10:$M$38,13,FALSE)-(VLOOKUP(A53,'Mapa inherente'!$A$10:$M$38,13,FALSE)*M53)),IF(N53="Probabilidad",VLOOKUP(A53,'Mapa inherente'!$A$10:$M$38,13,FALSE),"")),""),
                   IFERROR(IF(N53="Impacto",(Q52-(Q52)*M53),Q52),"")))</f>
        <v>0.4</v>
      </c>
      <c r="R53" s="138" t="str">
        <f t="shared" si="12"/>
        <v>Menor</v>
      </c>
      <c r="S53" s="138" t="str">
        <f t="shared" si="13"/>
        <v>Bajo</v>
      </c>
      <c r="T53" s="139" t="s">
        <v>124</v>
      </c>
    </row>
    <row r="54" spans="1:20" ht="267.75" x14ac:dyDescent="0.25">
      <c r="A54" s="100">
        <v>16</v>
      </c>
      <c r="B54" s="101" t="str">
        <f>IF(A54="","",VLOOKUP(A54,'Mapa inherente'!$A$10:$E$38,5,FALSE))</f>
        <v>BIBLIOTECA. Posibilidad de afectación económico y reputacional por la modificación o suspensión de multas, cuotas o saldos pendientes sin que estas hayan sido pagadas por parte de los usuarios bien sea por abuso de poder o extralimitacion de las funciones de los funcionarios encargados.</v>
      </c>
      <c r="C54" s="102" t="str">
        <f>IF(A54="","",VLOOKUP(A54,'Mapa inherente'!$A$10:$N$38,14,FALSE))</f>
        <v>Moderado</v>
      </c>
      <c r="D54" s="133">
        <f t="shared" si="10"/>
        <v>4</v>
      </c>
      <c r="E54" s="104" t="s">
        <v>360</v>
      </c>
      <c r="F54" s="104" t="s">
        <v>213</v>
      </c>
      <c r="G54" s="104" t="s">
        <v>361</v>
      </c>
      <c r="H54" s="134" t="s">
        <v>15</v>
      </c>
      <c r="I54" s="134" t="s">
        <v>9</v>
      </c>
      <c r="J54" s="134" t="s">
        <v>19</v>
      </c>
      <c r="K54" s="134" t="s">
        <v>21</v>
      </c>
      <c r="L54" s="134" t="s">
        <v>109</v>
      </c>
      <c r="M54" s="135" t="s">
        <v>317</v>
      </c>
      <c r="N54" s="136" t="s">
        <v>2</v>
      </c>
      <c r="O54" s="137">
        <f>IF(A54="","",IF(D54=1,IFERROR(IF(N54="Probabilidad",(VLOOKUP(A54,'Mapa inherente'!$A$10:$M$38,9,FALSE)-(VLOOKUP(A54,'Mapa inherente'!$A$10:$M$38,9,FALSE)*M54)),IF(N54="Impacto",VLOOKUP(A54,'Mapa inherente'!$A$10:$M$38,9,FALSE),"")),""),
IFERROR(IF(N54="Probabilidad",(O53-(O53)*M54),O53),"")))</f>
        <v>0.17279999999999998</v>
      </c>
      <c r="P54" s="138" t="str">
        <f t="shared" si="11"/>
        <v>Muy Baja</v>
      </c>
      <c r="Q54" s="137">
        <f>IF(A54="","",IF(D54=1,IFERROR(IF(N54="Impacto",(VLOOKUP(A54,'Mapa inherente'!$A$10:$M$38,13,FALSE)-(VLOOKUP(A54,'Mapa inherente'!$A$10:$M$38,13,FALSE)*M54)),IF(N54="Probabilidad",VLOOKUP(A54,'Mapa inherente'!$A$10:$M$38,13,FALSE),"")),""),
                   IFERROR(IF(N54="Impacto",(Q53-(Q53)*M54),Q53),"")))</f>
        <v>0.30000000000000004</v>
      </c>
      <c r="R54" s="138" t="str">
        <f t="shared" si="12"/>
        <v>Menor</v>
      </c>
      <c r="S54" s="138" t="str">
        <f t="shared" si="13"/>
        <v>Bajo</v>
      </c>
      <c r="T54" s="139" t="s">
        <v>29</v>
      </c>
    </row>
    <row r="55" spans="1:20" ht="219" customHeight="1" x14ac:dyDescent="0.25">
      <c r="A55" s="100">
        <v>17</v>
      </c>
      <c r="B55" s="101" t="str">
        <f>IF(A55="","",VLOOKUP(A55,'Mapa inherente'!$A$10:$E$38,5,FALSE))</f>
        <v>BIENESTAR. Posibilidad de afectación reputacional por adelantar tramites que beneficien  a su solicitante (estudiantes, docentes y administrativos) sin el cumplimento de los requisitos establecidos para ello, por   tráfico de influencia, Amiguismo y/o  clientelismo</v>
      </c>
      <c r="C55" s="102" t="str">
        <f>IF(A55="","",VLOOKUP(A55,'Mapa inherente'!$A$10:$N$38,14,FALSE))</f>
        <v>Bajo</v>
      </c>
      <c r="D55" s="133">
        <f t="shared" si="10"/>
        <v>1</v>
      </c>
      <c r="E55" s="104" t="s">
        <v>367</v>
      </c>
      <c r="F55" s="104" t="s">
        <v>214</v>
      </c>
      <c r="G55" s="104" t="s">
        <v>368</v>
      </c>
      <c r="H55" s="105" t="s">
        <v>13</v>
      </c>
      <c r="I55" s="105" t="s">
        <v>9</v>
      </c>
      <c r="J55" s="105" t="s">
        <v>18</v>
      </c>
      <c r="K55" s="105" t="s">
        <v>21</v>
      </c>
      <c r="L55" s="105" t="s">
        <v>109</v>
      </c>
      <c r="M55" s="92" t="str">
        <f t="shared" ref="M55:M60" si="14">IF(AND(H55="Preventivo",I55="Automático"),"50%",IF(AND(H55="Preventivo",I55="Manual"),"40%",IF(AND(H55="Detectivo",I55="Automático"),"40%",IF(AND(H55="Detectivo",I55="Manual"),"30%",IF(AND(H55="Correctivo",I55="Automático"),"35%",IF(AND(H55="Correctivo",I55="Manual"),"25%",""))))))</f>
        <v>40%</v>
      </c>
      <c r="N55" s="93" t="str">
        <f t="shared" ref="N55:N60" si="15">IF(OR(H55="Preventivo",H55="Detectivo"),"Probabilidad",IF(H55="Correctivo","Impacto",""))</f>
        <v>Probabilidad</v>
      </c>
      <c r="O55" s="137">
        <f>IF(A55="","",IF(D55=1,IFERROR(IF(N55="Probabilidad",(VLOOKUP(A55,'Mapa inherente'!$A$10:$M$38,9,FALSE)-(VLOOKUP(A55,'Mapa inherente'!$A$10:$M$38,9,FALSE)*M55)),IF(N55="Impacto",VLOOKUP(A55,'Mapa inherente'!$A$10:$M$38,9,FALSE),"")),""),
IFERROR(IF(N55="Probabilidad",(O54-(O54)*M55),O54),"")))</f>
        <v>0.24</v>
      </c>
      <c r="P55" s="138" t="str">
        <f t="shared" si="11"/>
        <v>Baja</v>
      </c>
      <c r="Q55" s="137">
        <f>IF(A55="","",IF(D55=1,IFERROR(IF(N55="Impacto",(VLOOKUP(A55,'Mapa inherente'!$A$10:$M$38,13,FALSE)-(VLOOKUP(A55,'Mapa inherente'!$A$10:$M$38,13,FALSE)*M55)),IF(N55="Probabilidad",VLOOKUP(A55,'Mapa inherente'!$A$10:$M$38,13,FALSE),"")),""),
                   IFERROR(IF(N55="Impacto",(Q54-(Q54)*M55),Q54),"")))</f>
        <v>0.2</v>
      </c>
      <c r="R55" s="138" t="str">
        <f t="shared" si="12"/>
        <v>Leve</v>
      </c>
      <c r="S55" s="138" t="str">
        <f t="shared" si="13"/>
        <v>Bajo</v>
      </c>
      <c r="T55" s="139" t="s">
        <v>124</v>
      </c>
    </row>
    <row r="56" spans="1:20" ht="223.5" customHeight="1" x14ac:dyDescent="0.25">
      <c r="A56" s="100">
        <v>17</v>
      </c>
      <c r="B56" s="101" t="str">
        <f>IF(A56="","",VLOOKUP(A56,'Mapa inherente'!$A$10:$E$38,5,FALSE))</f>
        <v>BIENESTAR. Posibilidad de afectación reputacional por adelantar tramites que beneficien  a su solicitante (estudiantes, docentes y administrativos) sin el cumplimento de los requisitos establecidos para ello, por   tráfico de influencia, Amiguismo y/o  clientelismo</v>
      </c>
      <c r="C56" s="102" t="str">
        <f>IF(A56="","",VLOOKUP(A56,'Mapa inherente'!$A$10:$N$38,14,FALSE))</f>
        <v>Bajo</v>
      </c>
      <c r="D56" s="133">
        <f t="shared" si="10"/>
        <v>2</v>
      </c>
      <c r="E56" s="104" t="s">
        <v>369</v>
      </c>
      <c r="F56" s="104" t="s">
        <v>214</v>
      </c>
      <c r="G56" s="104" t="s">
        <v>370</v>
      </c>
      <c r="H56" s="105" t="s">
        <v>13</v>
      </c>
      <c r="I56" s="105" t="s">
        <v>9</v>
      </c>
      <c r="J56" s="105" t="s">
        <v>18</v>
      </c>
      <c r="K56" s="105" t="s">
        <v>21</v>
      </c>
      <c r="L56" s="105" t="s">
        <v>109</v>
      </c>
      <c r="M56" s="92" t="str">
        <f t="shared" si="14"/>
        <v>40%</v>
      </c>
      <c r="N56" s="93" t="str">
        <f t="shared" si="15"/>
        <v>Probabilidad</v>
      </c>
      <c r="O56" s="137">
        <f>IF(A56="","",IF(D56=1,IFERROR(IF(N56="Probabilidad",(VLOOKUP(A56,'Mapa inherente'!$A$10:$M$38,9,FALSE)-(VLOOKUP(A56,'Mapa inherente'!$A$10:$M$38,9,FALSE)*M56)),IF(N56="Impacto",VLOOKUP(A56,'Mapa inherente'!$A$10:$M$38,9,FALSE),"")),""),
IFERROR(IF(N56="Probabilidad",(O55-(O55)*M56),O55),"")))</f>
        <v>0.14399999999999999</v>
      </c>
      <c r="P56" s="138" t="str">
        <f t="shared" si="11"/>
        <v>Muy Baja</v>
      </c>
      <c r="Q56" s="137">
        <f>IF(A56="","",IF(D56=1,IFERROR(IF(N56="Impacto",(VLOOKUP(A56,'Mapa inherente'!$A$10:$M$38,13,FALSE)-(VLOOKUP(A56,'Mapa inherente'!$A$10:$M$38,13,FALSE)*M56)),IF(N56="Probabilidad",VLOOKUP(A56,'Mapa inherente'!$A$10:$M$38,13,FALSE),"")),""),
                   IFERROR(IF(N56="Impacto",(Q55-(Q55)*M56),Q55),"")))</f>
        <v>0.2</v>
      </c>
      <c r="R56" s="138" t="str">
        <f t="shared" si="12"/>
        <v>Leve</v>
      </c>
      <c r="S56" s="138" t="str">
        <f t="shared" si="13"/>
        <v>Bajo</v>
      </c>
      <c r="T56" s="139" t="s">
        <v>124</v>
      </c>
    </row>
    <row r="57" spans="1:20" ht="232.5" customHeight="1" x14ac:dyDescent="0.25">
      <c r="A57" s="100">
        <v>17</v>
      </c>
      <c r="B57" s="101" t="str">
        <f>IF(A57="","",VLOOKUP(A57,'Mapa inherente'!$A$10:$E$38,5,FALSE))</f>
        <v>BIENESTAR. Posibilidad de afectación reputacional por adelantar tramites que beneficien  a su solicitante (estudiantes, docentes y administrativos) sin el cumplimento de los requisitos establecidos para ello, por   tráfico de influencia, Amiguismo y/o  clientelismo</v>
      </c>
      <c r="C57" s="102" t="str">
        <f>IF(A57="","",VLOOKUP(A57,'Mapa inherente'!$A$10:$N$38,14,FALSE))</f>
        <v>Bajo</v>
      </c>
      <c r="D57" s="133">
        <f t="shared" si="10"/>
        <v>3</v>
      </c>
      <c r="E57" s="104" t="s">
        <v>371</v>
      </c>
      <c r="F57" s="104" t="s">
        <v>214</v>
      </c>
      <c r="G57" s="104" t="s">
        <v>372</v>
      </c>
      <c r="H57" s="105" t="s">
        <v>15</v>
      </c>
      <c r="I57" s="105" t="s">
        <v>9</v>
      </c>
      <c r="J57" s="105" t="s">
        <v>18</v>
      </c>
      <c r="K57" s="105" t="s">
        <v>21</v>
      </c>
      <c r="L57" s="105" t="s">
        <v>109</v>
      </c>
      <c r="M57" s="92" t="str">
        <f t="shared" si="14"/>
        <v>25%</v>
      </c>
      <c r="N57" s="93" t="str">
        <f t="shared" si="15"/>
        <v>Impacto</v>
      </c>
      <c r="O57" s="137">
        <f>IF(A57="","",IF(D57=1,IFERROR(IF(N57="Probabilidad",(VLOOKUP(A57,'Mapa inherente'!$A$10:$M$38,9,FALSE)-(VLOOKUP(A57,'Mapa inherente'!$A$10:$M$38,9,FALSE)*M57)),IF(N57="Impacto",VLOOKUP(A57,'Mapa inherente'!$A$10:$M$38,9,FALSE),"")),""),
IFERROR(IF(N57="Probabilidad",(O56-(O56)*M57),O56),"")))</f>
        <v>0.14399999999999999</v>
      </c>
      <c r="P57" s="138" t="str">
        <f t="shared" si="11"/>
        <v>Muy Baja</v>
      </c>
      <c r="Q57" s="137">
        <f>IF(A57="","",IF(D57=1,IFERROR(IF(N57="Impacto",(VLOOKUP(A57,'Mapa inherente'!$A$10:$M$38,13,FALSE)-(VLOOKUP(A57,'Mapa inherente'!$A$10:$M$38,13,FALSE)*M57)),IF(N57="Probabilidad",VLOOKUP(A57,'Mapa inherente'!$A$10:$M$38,13,FALSE),"")),""),
                   IFERROR(IF(N57="Impacto",(Q56-(Q56)*M57),Q56),"")))</f>
        <v>0.15000000000000002</v>
      </c>
      <c r="R57" s="138" t="str">
        <f t="shared" si="12"/>
        <v>Leve</v>
      </c>
      <c r="S57" s="138" t="str">
        <f t="shared" si="13"/>
        <v>Bajo</v>
      </c>
      <c r="T57" s="139" t="s">
        <v>29</v>
      </c>
    </row>
    <row r="58" spans="1:20" ht="396.75" customHeight="1" x14ac:dyDescent="0.25">
      <c r="A58" s="100">
        <v>18</v>
      </c>
      <c r="B58" s="101" t="str">
        <f>IF(A58="","",VLOOKUP(A58,'Mapa inherente'!$A$10:$E$38,5,FALSE))</f>
        <v>BIENESTAR. Posibilidad de afectación Económico y Reputacional  por la apropiación, uso o aplicación indebida de los equipos y elementos de las áreas Culturales, artísticas y deportivas,  por parte de los funcionarios públicos encargados de su administración, manejo y/o custodia, en beneficio propio, favorecimiento a terceros o asuntos no institucionales por Extralimitación de funciones y falta de controles para asegurar el correcto uso de los equipos y elementos de las áreas Culturales, artísticas y deportivas</v>
      </c>
      <c r="C58" s="102" t="str">
        <f>IF(A58="","",VLOOKUP(A58,'Mapa inherente'!$A$10:$N$38,14,FALSE))</f>
        <v>Moderado</v>
      </c>
      <c r="D58" s="133">
        <f t="shared" si="10"/>
        <v>1</v>
      </c>
      <c r="E58" s="104" t="s">
        <v>373</v>
      </c>
      <c r="F58" s="104" t="s">
        <v>214</v>
      </c>
      <c r="G58" s="104" t="s">
        <v>374</v>
      </c>
      <c r="H58" s="105" t="s">
        <v>15</v>
      </c>
      <c r="I58" s="105" t="s">
        <v>9</v>
      </c>
      <c r="J58" s="105" t="s">
        <v>18</v>
      </c>
      <c r="K58" s="105" t="s">
        <v>21</v>
      </c>
      <c r="L58" s="105" t="s">
        <v>109</v>
      </c>
      <c r="M58" s="92" t="str">
        <f t="shared" si="14"/>
        <v>25%</v>
      </c>
      <c r="N58" s="93" t="str">
        <f t="shared" si="15"/>
        <v>Impacto</v>
      </c>
      <c r="O58" s="137">
        <f>IF(A58="","",IF(D58=1,IFERROR(IF(N58="Probabilidad",(VLOOKUP(A58,'Mapa inherente'!$A$10:$M$38,9,FALSE)-(VLOOKUP(A58,'Mapa inherente'!$A$10:$M$38,9,FALSE)*M58)),IF(N58="Impacto",VLOOKUP(A58,'Mapa inherente'!$A$10:$M$38,9,FALSE),"")),""),
IFERROR(IF(N58="Probabilidad",(O57-(O57)*M58),O57),"")))</f>
        <v>0.6</v>
      </c>
      <c r="P58" s="138" t="str">
        <f t="shared" si="11"/>
        <v>Media</v>
      </c>
      <c r="Q58" s="137">
        <f>IF(A58="","",IF(D58=1,IFERROR(IF(N58="Impacto",(VLOOKUP(A58,'Mapa inherente'!$A$10:$M$38,13,FALSE)-(VLOOKUP(A58,'Mapa inherente'!$A$10:$M$38,13,FALSE)*M58)),IF(N58="Probabilidad",VLOOKUP(A58,'Mapa inherente'!$A$10:$M$38,13,FALSE),"")),""),
                   IFERROR(IF(N58="Impacto",(Q57-(Q57)*M58),Q57),"")))</f>
        <v>0.44999999999999996</v>
      </c>
      <c r="R58" s="138" t="str">
        <f t="shared" si="12"/>
        <v>Moderado</v>
      </c>
      <c r="S58" s="138" t="str">
        <f t="shared" si="13"/>
        <v>Moderado</v>
      </c>
      <c r="T58" s="139" t="s">
        <v>29</v>
      </c>
    </row>
    <row r="59" spans="1:20" ht="246" customHeight="1" x14ac:dyDescent="0.25">
      <c r="A59" s="100">
        <v>19</v>
      </c>
      <c r="B59" s="101" t="str">
        <f>IF(A59="","",VLOOKUP(A59,'Mapa inherente'!$A$10:$E$38,5,FALSE))</f>
        <v>BIENESTAR. Posibilidad de afectación Económico y Reputacional  por la emisión de recibido a satisfacción de un bien y/o un servicio sin el cumplimiento de las condiciones pactadas para un beneficio particular ,debido al tráfico de influencia, Amiguismo, clientelismo y/o soborno</v>
      </c>
      <c r="C59" s="102" t="str">
        <f>IF(A59="","",VLOOKUP(A59,'Mapa inherente'!$A$10:$N$38,14,FALSE))</f>
        <v>Extremo</v>
      </c>
      <c r="D59" s="133">
        <f t="shared" si="10"/>
        <v>1</v>
      </c>
      <c r="E59" s="104" t="s">
        <v>375</v>
      </c>
      <c r="F59" s="104" t="s">
        <v>213</v>
      </c>
      <c r="G59" s="104" t="s">
        <v>376</v>
      </c>
      <c r="H59" s="105" t="s">
        <v>13</v>
      </c>
      <c r="I59" s="105" t="s">
        <v>9</v>
      </c>
      <c r="J59" s="105" t="s">
        <v>18</v>
      </c>
      <c r="K59" s="105" t="s">
        <v>21</v>
      </c>
      <c r="L59" s="105" t="s">
        <v>109</v>
      </c>
      <c r="M59" s="92" t="str">
        <f t="shared" si="14"/>
        <v>40%</v>
      </c>
      <c r="N59" s="93" t="str">
        <f t="shared" si="15"/>
        <v>Probabilidad</v>
      </c>
      <c r="O59" s="137">
        <f>IF(A59="","",IF(D59=1,IFERROR(IF(N59="Probabilidad",(VLOOKUP(A59,'Mapa inherente'!$A$10:$M$38,9,FALSE)-(VLOOKUP(A59,'Mapa inherente'!$A$10:$M$38,9,FALSE)*M59)),IF(N59="Impacto",VLOOKUP(A59,'Mapa inherente'!$A$10:$M$38,9,FALSE),"")),""),
IFERROR(IF(N59="Probabilidad",(O58-(O58)*M59),O58),"")))</f>
        <v>0.24</v>
      </c>
      <c r="P59" s="138" t="str">
        <f t="shared" si="11"/>
        <v>Baja</v>
      </c>
      <c r="Q59" s="137">
        <f>IF(A59="","",IF(D59=1,IFERROR(IF(N59="Impacto",(VLOOKUP(A59,'Mapa inherente'!$A$10:$M$38,13,FALSE)-(VLOOKUP(A59,'Mapa inherente'!$A$10:$M$38,13,FALSE)*M59)),IF(N59="Probabilidad",VLOOKUP(A59,'Mapa inherente'!$A$10:$M$38,13,FALSE),"")),""),
                   IFERROR(IF(N59="Impacto",(Q58-(Q58)*M59),Q58),"")))</f>
        <v>1</v>
      </c>
      <c r="R59" s="138" t="str">
        <f t="shared" si="12"/>
        <v>Catastrófico</v>
      </c>
      <c r="S59" s="138" t="str">
        <f t="shared" si="13"/>
        <v>Extremo</v>
      </c>
      <c r="T59" s="106" t="s">
        <v>124</v>
      </c>
    </row>
    <row r="60" spans="1:20" ht="246" customHeight="1" x14ac:dyDescent="0.25">
      <c r="A60" s="100">
        <v>19</v>
      </c>
      <c r="B60" s="101" t="str">
        <f>IF(A60="","",VLOOKUP(A60,'Mapa inherente'!$A$10:$E$38,5,FALSE))</f>
        <v>BIENESTAR. Posibilidad de afectación Económico y Reputacional  por la emisión de recibido a satisfacción de un bien y/o un servicio sin el cumplimiento de las condiciones pactadas para un beneficio particular ,debido al tráfico de influencia, Amiguismo, clientelismo y/o soborno</v>
      </c>
      <c r="C60" s="102" t="str">
        <f>IF(A60="","",VLOOKUP(A60,'Mapa inherente'!$A$10:$N$38,14,FALSE))</f>
        <v>Extremo</v>
      </c>
      <c r="D60" s="133">
        <f t="shared" si="10"/>
        <v>2</v>
      </c>
      <c r="E60" s="104" t="s">
        <v>377</v>
      </c>
      <c r="F60" s="104" t="s">
        <v>213</v>
      </c>
      <c r="G60" s="104" t="s">
        <v>378</v>
      </c>
      <c r="H60" s="105" t="s">
        <v>15</v>
      </c>
      <c r="I60" s="105" t="s">
        <v>9</v>
      </c>
      <c r="J60" s="105" t="s">
        <v>18</v>
      </c>
      <c r="K60" s="105" t="s">
        <v>21</v>
      </c>
      <c r="L60" s="105" t="s">
        <v>109</v>
      </c>
      <c r="M60" s="92" t="str">
        <f t="shared" si="14"/>
        <v>25%</v>
      </c>
      <c r="N60" s="93" t="str">
        <f t="shared" si="15"/>
        <v>Impacto</v>
      </c>
      <c r="O60" s="137">
        <f>IF(A60="","",IF(D60=1,IFERROR(IF(N60="Probabilidad",(VLOOKUP(A60,'Mapa inherente'!$A$10:$M$38,9,FALSE)-(VLOOKUP(A60,'Mapa inherente'!$A$10:$M$38,9,FALSE)*M60)),IF(N60="Impacto",VLOOKUP(A60,'Mapa inherente'!$A$10:$M$38,9,FALSE),"")),""),
IFERROR(IF(N60="Probabilidad",(O59-(O59)*M60),O59),"")))</f>
        <v>0.24</v>
      </c>
      <c r="P60" s="138" t="str">
        <f t="shared" si="11"/>
        <v>Baja</v>
      </c>
      <c r="Q60" s="137">
        <f>IF(A60="","",IF(D60=1,IFERROR(IF(N60="Impacto",(VLOOKUP(A60,'Mapa inherente'!$A$10:$M$38,13,FALSE)-(VLOOKUP(A60,'Mapa inherente'!$A$10:$M$38,13,FALSE)*M60)),IF(N60="Probabilidad",VLOOKUP(A60,'Mapa inherente'!$A$10:$M$38,13,FALSE),"")),""),
                   IFERROR(IF(N60="Impacto",(Q59-(Q59)*M60),Q59),"")))</f>
        <v>0.75</v>
      </c>
      <c r="R60" s="138" t="str">
        <f t="shared" si="12"/>
        <v>Mayor</v>
      </c>
      <c r="S60" s="138" t="str">
        <f t="shared" si="13"/>
        <v>Alto</v>
      </c>
      <c r="T60" s="106" t="s">
        <v>29</v>
      </c>
    </row>
    <row r="61" spans="1:20" ht="409.5" x14ac:dyDescent="0.25">
      <c r="A61" s="100">
        <v>20</v>
      </c>
      <c r="B61" s="101" t="str">
        <f>IF(A61="","",VLOOKUP(A61,'Mapa inherente'!$A$10:$E$38,5,FALSE))</f>
        <v>CONTRATACIÓN. Posibilidad de afectación reputacional y afectación economica  de la Institución por posibles pagos sin el cumplimiento de los requisitos establecidos en las diferentes fases de la ejecución del contrato</v>
      </c>
      <c r="C61" s="102" t="str">
        <f>IF(A61="","",VLOOKUP(A61,'Mapa inherente'!$A$10:$N$38,14,FALSE))</f>
        <v>Extremo</v>
      </c>
      <c r="D61" s="133">
        <f t="shared" si="10"/>
        <v>1</v>
      </c>
      <c r="E61" s="104" t="s">
        <v>385</v>
      </c>
      <c r="F61" s="104" t="s">
        <v>211</v>
      </c>
      <c r="G61" s="104" t="s">
        <v>386</v>
      </c>
      <c r="H61" s="105" t="s">
        <v>13</v>
      </c>
      <c r="I61" s="105" t="s">
        <v>9</v>
      </c>
      <c r="J61" s="105" t="s">
        <v>18</v>
      </c>
      <c r="K61" s="105" t="s">
        <v>21</v>
      </c>
      <c r="L61" s="105" t="s">
        <v>109</v>
      </c>
      <c r="M61" s="92" t="s">
        <v>246</v>
      </c>
      <c r="N61" s="93" t="s">
        <v>4</v>
      </c>
      <c r="O61" s="137">
        <f>IF(A61="","",IF(D61=1,IFERROR(IF(N61="Probabilidad",(VLOOKUP(A61,'Mapa inherente'!$A$10:$M$38,9,FALSE)-(VLOOKUP(A61,'Mapa inherente'!$A$10:$M$38,9,FALSE)*M61)),IF(N61="Impacto",VLOOKUP(A61,'Mapa inherente'!$A$10:$M$38,9,FALSE),"")),""),
IFERROR(IF(N61="Probabilidad",(O60-(O60)*M61),O60),"")))</f>
        <v>0.48</v>
      </c>
      <c r="P61" s="138" t="str">
        <f t="shared" si="11"/>
        <v>Media</v>
      </c>
      <c r="Q61" s="137">
        <f>IF(A61="","",IF(D61=1,IFERROR(IF(N61="Impacto",(VLOOKUP(A61,'Mapa inherente'!$A$10:$M$38,13,FALSE)-(VLOOKUP(A61,'Mapa inherente'!$A$10:$M$38,13,FALSE)*M61)),IF(N61="Probabilidad",VLOOKUP(A61,'Mapa inherente'!$A$10:$M$38,13,FALSE),"")),""),
                   IFERROR(IF(N61="Impacto",(Q60-(Q60)*M61),Q60),"")))</f>
        <v>1</v>
      </c>
      <c r="R61" s="138" t="str">
        <f t="shared" si="12"/>
        <v>Catastrófico</v>
      </c>
      <c r="S61" s="138" t="str">
        <f t="shared" si="13"/>
        <v>Extremo</v>
      </c>
      <c r="T61" s="106" t="s">
        <v>124</v>
      </c>
    </row>
    <row r="62" spans="1:20" ht="214.5" customHeight="1" x14ac:dyDescent="0.25">
      <c r="A62" s="100">
        <v>20</v>
      </c>
      <c r="B62" s="101" t="str">
        <f>IF(A62="","",VLOOKUP(A62,'Mapa inherente'!$A$10:$E$38,5,FALSE))</f>
        <v>CONTRATACIÓN. Posibilidad de afectación reputacional y afectación economica  de la Institución por posibles pagos sin el cumplimiento de los requisitos establecidos en las diferentes fases de la ejecución del contrato</v>
      </c>
      <c r="C62" s="102" t="str">
        <f>IF(A62="","",VLOOKUP(A62,'Mapa inherente'!$A$10:$N$38,14,FALSE))</f>
        <v>Extremo</v>
      </c>
      <c r="D62" s="133">
        <f t="shared" si="10"/>
        <v>2</v>
      </c>
      <c r="E62" s="104" t="s">
        <v>387</v>
      </c>
      <c r="F62" s="104" t="s">
        <v>212</v>
      </c>
      <c r="G62" s="104" t="s">
        <v>388</v>
      </c>
      <c r="H62" s="105" t="s">
        <v>14</v>
      </c>
      <c r="I62" s="105" t="s">
        <v>9</v>
      </c>
      <c r="J62" s="105" t="s">
        <v>19</v>
      </c>
      <c r="K62" s="105" t="s">
        <v>22</v>
      </c>
      <c r="L62" s="105" t="s">
        <v>109</v>
      </c>
      <c r="M62" s="92" t="s">
        <v>240</v>
      </c>
      <c r="N62" s="93" t="s">
        <v>4</v>
      </c>
      <c r="O62" s="137">
        <f>IF(A62="","",IF(D62=1,IFERROR(IF(N62="Probabilidad",(VLOOKUP(A62,'Mapa inherente'!$A$10:$M$38,9,FALSE)-(VLOOKUP(A62,'Mapa inherente'!$A$10:$M$38,9,FALSE)*M62)),IF(N62="Impacto",VLOOKUP(A62,'Mapa inherente'!$A$10:$M$38,9,FALSE),"")),""),
IFERROR(IF(N62="Probabilidad",(O61-(O61)*M62),O61),"")))</f>
        <v>0.33599999999999997</v>
      </c>
      <c r="P62" s="138" t="str">
        <f t="shared" si="11"/>
        <v>Baja</v>
      </c>
      <c r="Q62" s="137">
        <f>IF(A62="","",IF(D62=1,IFERROR(IF(N62="Impacto",(VLOOKUP(A62,'Mapa inherente'!$A$10:$M$38,13,FALSE)-(VLOOKUP(A62,'Mapa inherente'!$A$10:$M$38,13,FALSE)*M62)),IF(N62="Probabilidad",VLOOKUP(A62,'Mapa inherente'!$A$10:$M$38,13,FALSE),"")),""),
                   IFERROR(IF(N62="Impacto",(Q61-(Q61)*M62),Q61),"")))</f>
        <v>1</v>
      </c>
      <c r="R62" s="138" t="str">
        <f t="shared" si="12"/>
        <v>Catastrófico</v>
      </c>
      <c r="S62" s="138" t="str">
        <f t="shared" si="13"/>
        <v>Extremo</v>
      </c>
      <c r="T62" s="106" t="s">
        <v>124</v>
      </c>
    </row>
    <row r="63" spans="1:20" ht="210.75" customHeight="1" x14ac:dyDescent="0.25">
      <c r="A63" s="100">
        <v>20</v>
      </c>
      <c r="B63" s="101" t="str">
        <f>IF(A63="","",VLOOKUP(A63,'Mapa inherente'!$A$10:$E$38,5,FALSE))</f>
        <v>CONTRATACIÓN. Posibilidad de afectación reputacional y afectación economica  de la Institución por posibles pagos sin el cumplimiento de los requisitos establecidos en las diferentes fases de la ejecución del contrato</v>
      </c>
      <c r="C63" s="102" t="str">
        <f>IF(A63="","",VLOOKUP(A63,'Mapa inherente'!$A$10:$N$38,14,FALSE))</f>
        <v>Extremo</v>
      </c>
      <c r="D63" s="133">
        <f t="shared" si="10"/>
        <v>3</v>
      </c>
      <c r="E63" s="104" t="s">
        <v>389</v>
      </c>
      <c r="F63" s="104"/>
      <c r="G63" s="104" t="s">
        <v>390</v>
      </c>
      <c r="H63" s="105" t="s">
        <v>15</v>
      </c>
      <c r="I63" s="105" t="s">
        <v>9</v>
      </c>
      <c r="J63" s="105" t="s">
        <v>18</v>
      </c>
      <c r="K63" s="105" t="s">
        <v>21</v>
      </c>
      <c r="L63" s="105" t="s">
        <v>109</v>
      </c>
      <c r="M63" s="92" t="s">
        <v>317</v>
      </c>
      <c r="N63" s="93" t="s">
        <v>2</v>
      </c>
      <c r="O63" s="137">
        <f>IF(A63="","",IF(D63=1,IFERROR(IF(N63="Probabilidad",(VLOOKUP(A63,'Mapa inherente'!$A$10:$M$38,9,FALSE)-(VLOOKUP(A63,'Mapa inherente'!$A$10:$M$38,9,FALSE)*M63)),IF(N63="Impacto",VLOOKUP(A63,'Mapa inherente'!$A$10:$M$38,9,FALSE),"")),""),
IFERROR(IF(N63="Probabilidad",(O62-(O62)*M63),O62),"")))</f>
        <v>0.33599999999999997</v>
      </c>
      <c r="P63" s="138" t="str">
        <f t="shared" si="11"/>
        <v>Baja</v>
      </c>
      <c r="Q63" s="137">
        <f>IF(A63="","",IF(D63=1,IFERROR(IF(N63="Impacto",(VLOOKUP(A63,'Mapa inherente'!$A$10:$M$38,13,FALSE)-(VLOOKUP(A63,'Mapa inherente'!$A$10:$M$38,13,FALSE)*M63)),IF(N63="Probabilidad",VLOOKUP(A63,'Mapa inherente'!$A$10:$M$38,13,FALSE),"")),""),
                   IFERROR(IF(N63="Impacto",(Q62-(Q62)*M63),Q62),"")))</f>
        <v>0.75</v>
      </c>
      <c r="R63" s="138" t="str">
        <f t="shared" si="12"/>
        <v>Mayor</v>
      </c>
      <c r="S63" s="138" t="str">
        <f t="shared" si="13"/>
        <v>Alto</v>
      </c>
      <c r="T63" s="106" t="s">
        <v>124</v>
      </c>
    </row>
    <row r="64" spans="1:20" ht="221.25" customHeight="1" x14ac:dyDescent="0.25">
      <c r="A64" s="100">
        <v>20</v>
      </c>
      <c r="B64" s="101" t="str">
        <f>IF(A64="","",VLOOKUP(A64,'Mapa inherente'!$A$10:$E$38,5,FALSE))</f>
        <v>CONTRATACIÓN. Posibilidad de afectación reputacional y afectación economica  de la Institución por posibles pagos sin el cumplimiento de los requisitos establecidos en las diferentes fases de la ejecución del contrato</v>
      </c>
      <c r="C64" s="102" t="str">
        <f>IF(A64="","",VLOOKUP(A64,'Mapa inherente'!$A$10:$N$38,14,FALSE))</f>
        <v>Extremo</v>
      </c>
      <c r="D64" s="133">
        <f t="shared" si="10"/>
        <v>4</v>
      </c>
      <c r="E64" s="104" t="s">
        <v>391</v>
      </c>
      <c r="F64" s="104" t="s">
        <v>212</v>
      </c>
      <c r="G64" s="104" t="s">
        <v>392</v>
      </c>
      <c r="H64" s="105" t="s">
        <v>15</v>
      </c>
      <c r="I64" s="105" t="s">
        <v>9</v>
      </c>
      <c r="J64" s="105" t="s">
        <v>19</v>
      </c>
      <c r="K64" s="105" t="s">
        <v>21</v>
      </c>
      <c r="L64" s="105" t="s">
        <v>109</v>
      </c>
      <c r="M64" s="92" t="s">
        <v>317</v>
      </c>
      <c r="N64" s="93" t="s">
        <v>2</v>
      </c>
      <c r="O64" s="137">
        <f>IF(A64="","",IF(D64=1,IFERROR(IF(N64="Probabilidad",(VLOOKUP(A64,'Mapa inherente'!$A$10:$M$38,9,FALSE)-(VLOOKUP(A64,'Mapa inherente'!$A$10:$M$38,9,FALSE)*M64)),IF(N64="Impacto",VLOOKUP(A64,'Mapa inherente'!$A$10:$M$38,9,FALSE),"")),""),
IFERROR(IF(N64="Probabilidad",(O63-(O63)*M64),O63),"")))</f>
        <v>0.33599999999999997</v>
      </c>
      <c r="P64" s="138" t="str">
        <f t="shared" si="11"/>
        <v>Baja</v>
      </c>
      <c r="Q64" s="137">
        <f>IF(A64="","",IF(D64=1,IFERROR(IF(N64="Impacto",(VLOOKUP(A64,'Mapa inherente'!$A$10:$M$38,13,FALSE)-(VLOOKUP(A64,'Mapa inherente'!$A$10:$M$38,13,FALSE)*M64)),IF(N64="Probabilidad",VLOOKUP(A64,'Mapa inherente'!$A$10:$M$38,13,FALSE),"")),""),
                   IFERROR(IF(N64="Impacto",(Q63-(Q63)*M64),Q63),"")))</f>
        <v>0.5625</v>
      </c>
      <c r="R64" s="138" t="str">
        <f t="shared" si="12"/>
        <v>Moderado</v>
      </c>
      <c r="S64" s="138" t="str">
        <f t="shared" si="13"/>
        <v>Moderado</v>
      </c>
      <c r="T64" s="106" t="s">
        <v>29</v>
      </c>
    </row>
    <row r="65" spans="1:20" ht="255" x14ac:dyDescent="0.25">
      <c r="A65" s="100">
        <v>21</v>
      </c>
      <c r="B65" s="101" t="str">
        <f>IF(A65="","",VLOOKUP(A65,'Mapa inherente'!$A$10:$E$38,5,FALSE))</f>
        <v>D. TECNOLÓGICO. Posibilidad de afectación económica y reputacional, debido a modificación no autorizada de datos, sabotaje o  fraude interno,  a un sistema informático por  deficiencia en los controles procedimentales y técnicos y/o sobre las acciones que realizan los usuarios en los sistemas  s informáticos de la Universidad.</v>
      </c>
      <c r="C65" s="102" t="str">
        <f>IF(A65="","",VLOOKUP(A65,'Mapa inherente'!$A$10:$N$38,14,FALSE))</f>
        <v>Extremo</v>
      </c>
      <c r="D65" s="133">
        <f t="shared" si="10"/>
        <v>1</v>
      </c>
      <c r="E65" s="104" t="s">
        <v>396</v>
      </c>
      <c r="F65" s="104" t="s">
        <v>214</v>
      </c>
      <c r="G65" s="104" t="s">
        <v>397</v>
      </c>
      <c r="H65" s="105" t="s">
        <v>15</v>
      </c>
      <c r="I65" s="105" t="s">
        <v>9</v>
      </c>
      <c r="J65" s="105" t="s">
        <v>19</v>
      </c>
      <c r="K65" s="105" t="s">
        <v>21</v>
      </c>
      <c r="L65" s="105" t="s">
        <v>109</v>
      </c>
      <c r="M65" s="92" t="s">
        <v>317</v>
      </c>
      <c r="N65" s="93" t="s">
        <v>2</v>
      </c>
      <c r="O65" s="137">
        <f>IF(A65="","",IF(D65=1,IFERROR(IF(N65="Probabilidad",(VLOOKUP(A65,'Mapa inherente'!$A$10:$M$38,9,FALSE)-(VLOOKUP(A65,'Mapa inherente'!$A$10:$M$38,9,FALSE)*M65)),IF(N65="Impacto",VLOOKUP(A65,'Mapa inherente'!$A$10:$M$38,9,FALSE),"")),""),
IFERROR(IF(N65="Probabilidad",(O64-(O64)*M65),O64),"")))</f>
        <v>0.6</v>
      </c>
      <c r="P65" s="138" t="str">
        <f t="shared" si="11"/>
        <v>Media</v>
      </c>
      <c r="Q65" s="137">
        <f>IF(A65="","",IF(D65=1,IFERROR(IF(N65="Impacto",(VLOOKUP(A65,'Mapa inherente'!$A$10:$M$38,13,FALSE)-(VLOOKUP(A65,'Mapa inherente'!$A$10:$M$38,13,FALSE)*M65)),IF(N65="Probabilidad",VLOOKUP(A65,'Mapa inherente'!$A$10:$M$38,13,FALSE),"")),""),
                   IFERROR(IF(N65="Impacto",(Q64-(Q64)*M65),Q64),"")))</f>
        <v>0.75</v>
      </c>
      <c r="R65" s="138" t="str">
        <f t="shared" si="12"/>
        <v>Mayor</v>
      </c>
      <c r="S65" s="138" t="str">
        <f t="shared" si="13"/>
        <v>Alto</v>
      </c>
      <c r="T65" s="139" t="s">
        <v>30</v>
      </c>
    </row>
    <row r="66" spans="1:20" ht="306" x14ac:dyDescent="0.25">
      <c r="A66" s="100">
        <v>22</v>
      </c>
      <c r="B66" s="101" t="str">
        <f>IF(A66="","",VLOOKUP(A66,'Mapa inherente'!$A$10:$E$38,5,FALSE))</f>
        <v>INFRAESTRUCTURA. Posibilidad de afectacion economica por Destinación indebida de recursos (suministros y materiales) , debido a Desface en la solicitud de materiales que no son necesarios para manteniemiento preventivo o correctivo.</v>
      </c>
      <c r="C66" s="102" t="str">
        <f>IF(A66="","",VLOOKUP(A66,'Mapa inherente'!$A$10:$N$38,14,FALSE))</f>
        <v>Moderado</v>
      </c>
      <c r="D66" s="133">
        <f t="shared" si="10"/>
        <v>1</v>
      </c>
      <c r="E66" s="104" t="s">
        <v>401</v>
      </c>
      <c r="F66" s="104" t="s">
        <v>211</v>
      </c>
      <c r="G66" s="104" t="s">
        <v>402</v>
      </c>
      <c r="H66" s="105" t="s">
        <v>13</v>
      </c>
      <c r="I66" s="105" t="s">
        <v>9</v>
      </c>
      <c r="J66" s="105" t="s">
        <v>18</v>
      </c>
      <c r="K66" s="105" t="s">
        <v>21</v>
      </c>
      <c r="L66" s="105" t="s">
        <v>109</v>
      </c>
      <c r="M66" s="92" t="str">
        <f t="shared" ref="M66:M68" si="16">IF(AND(H66="Preventivo",I66="Automático"),"50%",IF(AND(H66="Preventivo",I66="Manual"),"40%",IF(AND(H66="Detectivo",I66="Automático"),"40%",IF(AND(H66="Detectivo",I66="Manual"),"30%",IF(AND(H66="Correctivo",I66="Automático"),"35%",IF(AND(H66="Correctivo",I66="Manual"),"25%",""))))))</f>
        <v>40%</v>
      </c>
      <c r="N66" s="93" t="str">
        <f t="shared" ref="N66:N68" si="17">IF(OR(H66="Preventivo",H66="Detectivo"),"Probabilidad",IF(H66="Correctivo","Impacto",""))</f>
        <v>Probabilidad</v>
      </c>
      <c r="O66" s="137">
        <f>IF(A66="","",IF(D66=1,IFERROR(IF(N66="Probabilidad",(VLOOKUP(A66,'Mapa inherente'!$A$10:$M$38,9,FALSE)-(VLOOKUP(A66,'Mapa inherente'!$A$10:$M$38,9,FALSE)*M66)),IF(N66="Impacto",VLOOKUP(A66,'Mapa inherente'!$A$10:$M$38,9,FALSE),"")),""),
IFERROR(IF(N66="Probabilidad",(O65-(O65)*M66),O65),"")))</f>
        <v>0.36</v>
      </c>
      <c r="P66" s="138" t="str">
        <f t="shared" si="11"/>
        <v>Baja</v>
      </c>
      <c r="Q66" s="137">
        <f>IF(A66="","",IF(D66=1,IFERROR(IF(N66="Impacto",(VLOOKUP(A66,'Mapa inherente'!$A$10:$M$38,13,FALSE)-(VLOOKUP(A66,'Mapa inherente'!$A$10:$M$38,13,FALSE)*M66)),IF(N66="Probabilidad",VLOOKUP(A66,'Mapa inherente'!$A$10:$M$38,13,FALSE),"")),""),
                   IFERROR(IF(N66="Impacto",(Q65-(Q65)*M66),Q65),"")))</f>
        <v>0.4</v>
      </c>
      <c r="R66" s="138" t="str">
        <f t="shared" si="12"/>
        <v>Menor</v>
      </c>
      <c r="S66" s="138" t="str">
        <f t="shared" si="13"/>
        <v>Moderado</v>
      </c>
      <c r="T66" s="106" t="s">
        <v>124</v>
      </c>
    </row>
    <row r="67" spans="1:20" ht="180" x14ac:dyDescent="0.25">
      <c r="A67" s="100">
        <v>22</v>
      </c>
      <c r="B67" s="101" t="str">
        <f>IF(A67="","",VLOOKUP(A67,'Mapa inherente'!$A$10:$E$38,5,FALSE))</f>
        <v>INFRAESTRUCTURA. Posibilidad de afectacion economica por Destinación indebida de recursos (suministros y materiales) , debido a Desface en la solicitud de materiales que no son necesarios para manteniemiento preventivo o correctivo.</v>
      </c>
      <c r="C67" s="102" t="str">
        <f>IF(A67="","",VLOOKUP(A67,'Mapa inherente'!$A$10:$N$38,14,FALSE))</f>
        <v>Moderado</v>
      </c>
      <c r="D67" s="133">
        <f t="shared" si="10"/>
        <v>2</v>
      </c>
      <c r="E67" s="104" t="s">
        <v>403</v>
      </c>
      <c r="F67" s="104" t="s">
        <v>211</v>
      </c>
      <c r="G67" s="104" t="s">
        <v>404</v>
      </c>
      <c r="H67" s="105" t="s">
        <v>15</v>
      </c>
      <c r="I67" s="105" t="s">
        <v>9</v>
      </c>
      <c r="J67" s="105" t="s">
        <v>18</v>
      </c>
      <c r="K67" s="105" t="s">
        <v>21</v>
      </c>
      <c r="L67" s="105" t="s">
        <v>109</v>
      </c>
      <c r="M67" s="92" t="str">
        <f t="shared" si="16"/>
        <v>25%</v>
      </c>
      <c r="N67" s="93" t="str">
        <f t="shared" si="17"/>
        <v>Impacto</v>
      </c>
      <c r="O67" s="137">
        <f>IF(A67="","",IF(D67=1,IFERROR(IF(N67="Probabilidad",(VLOOKUP(A67,'Mapa inherente'!$A$10:$M$38,9,FALSE)-(VLOOKUP(A67,'Mapa inherente'!$A$10:$M$38,9,FALSE)*M67)),IF(N67="Impacto",VLOOKUP(A67,'Mapa inherente'!$A$10:$M$38,9,FALSE),"")),""),
IFERROR(IF(N67="Probabilidad",(O66-(O66)*M67),O66),"")))</f>
        <v>0.36</v>
      </c>
      <c r="P67" s="138" t="str">
        <f t="shared" si="11"/>
        <v>Baja</v>
      </c>
      <c r="Q67" s="137">
        <f>IF(A67="","",IF(D67=1,IFERROR(IF(N67="Impacto",(VLOOKUP(A67,'Mapa inherente'!$A$10:$M$38,13,FALSE)-(VLOOKUP(A67,'Mapa inherente'!$A$10:$M$38,13,FALSE)*M67)),IF(N67="Probabilidad",VLOOKUP(A67,'Mapa inherente'!$A$10:$M$38,13,FALSE),"")),""),
                   IFERROR(IF(N67="Impacto",(Q66-(Q66)*M67),Q66),"")))</f>
        <v>0.30000000000000004</v>
      </c>
      <c r="R67" s="138" t="str">
        <f t="shared" si="12"/>
        <v>Menor</v>
      </c>
      <c r="S67" s="138" t="str">
        <f t="shared" si="13"/>
        <v>Moderado</v>
      </c>
      <c r="T67" s="106" t="s">
        <v>124</v>
      </c>
    </row>
    <row r="68" spans="1:20" ht="180" x14ac:dyDescent="0.25">
      <c r="A68" s="100">
        <v>22</v>
      </c>
      <c r="B68" s="101" t="str">
        <f>IF(A68="","",VLOOKUP(A68,'Mapa inherente'!$A$10:$E$38,5,FALSE))</f>
        <v>INFRAESTRUCTURA. Posibilidad de afectacion economica por Destinación indebida de recursos (suministros y materiales) , debido a Desface en la solicitud de materiales que no son necesarios para manteniemiento preventivo o correctivo.</v>
      </c>
      <c r="C68" s="102" t="str">
        <f>IF(A68="","",VLOOKUP(A68,'Mapa inherente'!$A$10:$N$38,14,FALSE))</f>
        <v>Moderado</v>
      </c>
      <c r="D68" s="133">
        <f t="shared" si="10"/>
        <v>3</v>
      </c>
      <c r="E68" s="104" t="s">
        <v>405</v>
      </c>
      <c r="F68" s="104" t="s">
        <v>212</v>
      </c>
      <c r="G68" s="104" t="s">
        <v>404</v>
      </c>
      <c r="H68" s="105" t="s">
        <v>15</v>
      </c>
      <c r="I68" s="105" t="s">
        <v>9</v>
      </c>
      <c r="J68" s="105" t="s">
        <v>18</v>
      </c>
      <c r="K68" s="105" t="s">
        <v>21</v>
      </c>
      <c r="L68" s="105" t="s">
        <v>110</v>
      </c>
      <c r="M68" s="92" t="str">
        <f t="shared" si="16"/>
        <v>25%</v>
      </c>
      <c r="N68" s="93" t="str">
        <f t="shared" si="17"/>
        <v>Impacto</v>
      </c>
      <c r="O68" s="137">
        <f>IF(A68="","",IF(D68=1,IFERROR(IF(N68="Probabilidad",(VLOOKUP(A68,'Mapa inherente'!$A$10:$M$38,9,FALSE)-(VLOOKUP(A68,'Mapa inherente'!$A$10:$M$38,9,FALSE)*M68)),IF(N68="Impacto",VLOOKUP(A68,'Mapa inherente'!$A$10:$M$38,9,FALSE),"")),""),
IFERROR(IF(N68="Probabilidad",(O67-(O67)*M68),O67),"")))</f>
        <v>0.36</v>
      </c>
      <c r="P68" s="138" t="str">
        <f t="shared" si="11"/>
        <v>Baja</v>
      </c>
      <c r="Q68" s="137">
        <f>IF(A68="","",IF(D68=1,IFERROR(IF(N68="Impacto",(VLOOKUP(A68,'Mapa inherente'!$A$10:$M$38,13,FALSE)-(VLOOKUP(A68,'Mapa inherente'!$A$10:$M$38,13,FALSE)*M68)),IF(N68="Probabilidad",VLOOKUP(A68,'Mapa inherente'!$A$10:$M$38,13,FALSE),"")),""),
                   IFERROR(IF(N68="Impacto",(Q67-(Q67)*M68),Q67),"")))</f>
        <v>0.22500000000000003</v>
      </c>
      <c r="R68" s="138" t="str">
        <f t="shared" si="12"/>
        <v>Menor</v>
      </c>
      <c r="S68" s="138" t="str">
        <f t="shared" si="13"/>
        <v>Moderado</v>
      </c>
      <c r="T68" s="106" t="s">
        <v>29</v>
      </c>
    </row>
    <row r="69" spans="1:20" ht="206.25" customHeight="1" x14ac:dyDescent="0.25">
      <c r="A69" s="100">
        <v>23</v>
      </c>
      <c r="B69" s="101" t="str">
        <f>IF(A69="","",VLOOKUP(A69,'Mapa inherente'!$A$10:$E$38,5,FALSE))</f>
        <v xml:space="preserve">INTERNACIONALIZACIÓN. Posibilidad de afectación reputacional por la selección indebida de los beneficiados en convocatorias para la aprobación de solicitudes de movilidad, ayudantías y/o becas de
intercambios o pasantias </v>
      </c>
      <c r="C69" s="102" t="str">
        <f>IF(A69="","",VLOOKUP(A69,'Mapa inherente'!$A$10:$N$38,14,FALSE))</f>
        <v>Moderado</v>
      </c>
      <c r="D69" s="133">
        <f t="shared" si="10"/>
        <v>1</v>
      </c>
      <c r="E69" s="104" t="s">
        <v>408</v>
      </c>
      <c r="F69" s="104" t="s">
        <v>213</v>
      </c>
      <c r="G69" s="104" t="s">
        <v>409</v>
      </c>
      <c r="H69" s="105" t="s">
        <v>14</v>
      </c>
      <c r="I69" s="105" t="s">
        <v>9</v>
      </c>
      <c r="J69" s="105" t="s">
        <v>18</v>
      </c>
      <c r="K69" s="105" t="s">
        <v>21</v>
      </c>
      <c r="L69" s="105" t="s">
        <v>109</v>
      </c>
      <c r="M69" s="92" t="s">
        <v>240</v>
      </c>
      <c r="N69" s="93" t="s">
        <v>4</v>
      </c>
      <c r="O69" s="137">
        <f>IF(A69="","",IF(D69=1,IFERROR(IF(N69="Probabilidad",(VLOOKUP(A69,'Mapa inherente'!$A$10:$M$38,9,FALSE)-(VLOOKUP(A69,'Mapa inherente'!$A$10:$M$38,9,FALSE)*M69)),IF(N69="Impacto",VLOOKUP(A69,'Mapa inherente'!$A$10:$M$38,9,FALSE),"")),""),
IFERROR(IF(N69="Probabilidad",(O68-(O68)*M69),O68),"")))</f>
        <v>0.42</v>
      </c>
      <c r="P69" s="138" t="str">
        <f t="shared" si="11"/>
        <v>Media</v>
      </c>
      <c r="Q69" s="137">
        <f>IF(A69="","",IF(D69=1,IFERROR(IF(N69="Impacto",(VLOOKUP(A69,'Mapa inherente'!$A$10:$M$38,13,FALSE)-(VLOOKUP(A69,'Mapa inherente'!$A$10:$M$38,13,FALSE)*M69)),IF(N69="Probabilidad",VLOOKUP(A69,'Mapa inherente'!$A$10:$M$38,13,FALSE),"")),""),
                   IFERROR(IF(N69="Impacto",(Q68-(Q68)*M69),Q68),"")))</f>
        <v>0.2</v>
      </c>
      <c r="R69" s="138" t="str">
        <f t="shared" si="12"/>
        <v>Leve</v>
      </c>
      <c r="S69" s="138" t="str">
        <f t="shared" si="13"/>
        <v>Moderado</v>
      </c>
      <c r="T69" s="139" t="s">
        <v>124</v>
      </c>
    </row>
    <row r="70" spans="1:20" ht="198" customHeight="1" x14ac:dyDescent="0.25">
      <c r="A70" s="100">
        <v>23</v>
      </c>
      <c r="B70" s="101" t="str">
        <f>IF(A70="","",VLOOKUP(A70,'Mapa inherente'!$A$10:$E$38,5,FALSE))</f>
        <v xml:space="preserve">INTERNACIONALIZACIÓN. Posibilidad de afectación reputacional por la selección indebida de los beneficiados en convocatorias para la aprobación de solicitudes de movilidad, ayudantías y/o becas de
intercambios o pasantias </v>
      </c>
      <c r="C70" s="102" t="str">
        <f>IF(A70="","",VLOOKUP(A70,'Mapa inherente'!$A$10:$N$38,14,FALSE))</f>
        <v>Moderado</v>
      </c>
      <c r="D70" s="133">
        <f t="shared" si="10"/>
        <v>2</v>
      </c>
      <c r="E70" s="104" t="s">
        <v>410</v>
      </c>
      <c r="F70" s="104" t="s">
        <v>213</v>
      </c>
      <c r="G70" s="104" t="s">
        <v>411</v>
      </c>
      <c r="H70" s="105" t="s">
        <v>15</v>
      </c>
      <c r="I70" s="105" t="s">
        <v>9</v>
      </c>
      <c r="J70" s="105" t="s">
        <v>18</v>
      </c>
      <c r="K70" s="105" t="s">
        <v>21</v>
      </c>
      <c r="L70" s="105" t="s">
        <v>109</v>
      </c>
      <c r="M70" s="92" t="s">
        <v>317</v>
      </c>
      <c r="N70" s="93" t="s">
        <v>2</v>
      </c>
      <c r="O70" s="137">
        <f>IF(A70="","",IF(D70=1,IFERROR(IF(N70="Probabilidad",(VLOOKUP(A70,'Mapa inherente'!$A$10:$M$38,9,FALSE)-(VLOOKUP(A70,'Mapa inherente'!$A$10:$M$38,9,FALSE)*M70)),IF(N70="Impacto",VLOOKUP(A70,'Mapa inherente'!$A$10:$M$38,9,FALSE),"")),""),
IFERROR(IF(N70="Probabilidad",(O69-(O69)*M70),O69),"")))</f>
        <v>0.42</v>
      </c>
      <c r="P70" s="138" t="str">
        <f t="shared" si="11"/>
        <v>Media</v>
      </c>
      <c r="Q70" s="137">
        <f>IF(A70="","",IF(D70=1,IFERROR(IF(N70="Impacto",(VLOOKUP(A70,'Mapa inherente'!$A$10:$M$38,13,FALSE)-(VLOOKUP(A70,'Mapa inherente'!$A$10:$M$38,13,FALSE)*M70)),IF(N70="Probabilidad",VLOOKUP(A70,'Mapa inherente'!$A$10:$M$38,13,FALSE),"")),""),
                   IFERROR(IF(N70="Impacto",(Q69-(Q69)*M70),Q69),"")))</f>
        <v>0.15000000000000002</v>
      </c>
      <c r="R70" s="138" t="str">
        <f t="shared" si="12"/>
        <v>Leve</v>
      </c>
      <c r="S70" s="138" t="str">
        <f t="shared" si="13"/>
        <v>Moderado</v>
      </c>
      <c r="T70" s="139" t="s">
        <v>29</v>
      </c>
    </row>
    <row r="71" spans="1:20" ht="256.5" customHeight="1" x14ac:dyDescent="0.25">
      <c r="A71" s="100">
        <v>24</v>
      </c>
      <c r="B71" s="101" t="str">
        <f>IF(A71="","",VLOOKUP(A71,'Mapa inherente'!$A$10:$E$38,5,FALSE))</f>
        <v xml:space="preserve">INVESTIGACIÓN. Posibilidad de afectaciòn economica y reputacional por las aprobación de proyectos de investigación sin el cumplimiento de los requisitos exigidos en las Convocatorias debido al trafico de influencias </v>
      </c>
      <c r="C71" s="102" t="str">
        <f>IF(A71="","",VLOOKUP(A71,'Mapa inherente'!$A$10:$N$38,14,FALSE))</f>
        <v>Moderado</v>
      </c>
      <c r="D71" s="133">
        <f t="shared" si="10"/>
        <v>1</v>
      </c>
      <c r="E71" s="393" t="s">
        <v>416</v>
      </c>
      <c r="F71" s="104" t="s">
        <v>215</v>
      </c>
      <c r="G71" s="104" t="s">
        <v>417</v>
      </c>
      <c r="H71" s="105" t="s">
        <v>13</v>
      </c>
      <c r="I71" s="105" t="s">
        <v>9</v>
      </c>
      <c r="J71" s="105" t="s">
        <v>18</v>
      </c>
      <c r="K71" s="105" t="s">
        <v>21</v>
      </c>
      <c r="L71" s="105" t="s">
        <v>109</v>
      </c>
      <c r="M71" s="92" t="str">
        <f t="shared" ref="M71" si="18">IF(AND(H71="Preventivo",I71="Automático"),"50%",IF(AND(H71="Preventivo",I71="Manual"),"40%",IF(AND(H71="Detectivo",I71="Automático"),"40%",IF(AND(H71="Detectivo",I71="Manual"),"30%",IF(AND(H71="Correctivo",I71="Automático"),"35%",IF(AND(H71="Correctivo",I71="Manual"),"25%",""))))))</f>
        <v>40%</v>
      </c>
      <c r="N71" s="93" t="str">
        <f t="shared" ref="N71" si="19">IF(OR(H71="Preventivo",H71="Detectivo"),"Probabilidad",IF(H71="Correctivo","Impacto",""))</f>
        <v>Probabilidad</v>
      </c>
      <c r="O71" s="137">
        <f>IF(A71="","",IF(D71=1,IFERROR(IF(N71="Probabilidad",(VLOOKUP(A71,'Mapa inherente'!$A$10:$M$38,9,FALSE)-(VLOOKUP(A71,'Mapa inherente'!$A$10:$M$38,9,FALSE)*M71)),IF(N71="Impacto",VLOOKUP(A71,'Mapa inherente'!$A$10:$M$38,9,FALSE),"")),""),
IFERROR(IF(N71="Probabilidad",(O70-(O70)*M71),O70),"")))</f>
        <v>0.36</v>
      </c>
      <c r="P71" s="138" t="str">
        <f t="shared" si="11"/>
        <v>Baja</v>
      </c>
      <c r="Q71" s="137">
        <f>IF(A71="","",IF(D71=1,IFERROR(IF(N71="Impacto",(VLOOKUP(A71,'Mapa inherente'!$A$10:$M$38,13,FALSE)-(VLOOKUP(A71,'Mapa inherente'!$A$10:$M$38,13,FALSE)*M71)),IF(N71="Probabilidad",VLOOKUP(A71,'Mapa inherente'!$A$10:$M$38,13,FALSE),"")),""),
                   IFERROR(IF(N71="Impacto",(Q70-(Q70)*M71),Q70),"")))</f>
        <v>0.6</v>
      </c>
      <c r="R71" s="138" t="str">
        <f t="shared" si="12"/>
        <v>Moderado</v>
      </c>
      <c r="S71" s="138" t="str">
        <f t="shared" si="13"/>
        <v>Moderado</v>
      </c>
      <c r="T71" s="139" t="s">
        <v>30</v>
      </c>
    </row>
    <row r="72" spans="1:20" ht="16.5" hidden="1" x14ac:dyDescent="0.25">
      <c r="A72" s="100"/>
      <c r="B72" s="101" t="str">
        <f>IF(A72="","",VLOOKUP(A72,'Mapa inherente'!$A$10:$E$38,5,FALSE))</f>
        <v/>
      </c>
      <c r="C72" s="102" t="str">
        <f>IF(A72="","",VLOOKUP(A72,'Mapa inherente'!$A$10:$N$38,14,FALSE))</f>
        <v/>
      </c>
      <c r="D72" s="133" t="str">
        <f t="shared" si="10"/>
        <v/>
      </c>
      <c r="E72" s="104"/>
      <c r="F72" s="104"/>
      <c r="G72" s="104"/>
      <c r="H72" s="134"/>
      <c r="I72" s="134"/>
      <c r="J72" s="134"/>
      <c r="K72" s="134"/>
      <c r="L72" s="134"/>
      <c r="M72" s="135" t="str">
        <f t="shared" ref="M46:M109" si="20">IF(AND(H72="Preventivo",I72="Automático"),"50%",IF(AND(H72="Preventivo",I72="Manual"),"40%",IF(AND(H72="Detectivo",I72="Automático"),"40%",IF(AND(H72="Detectivo",I72="Manual"),"30%",IF(AND(H72="Correctivo",I72="Automático"),"35%",IF(AND(H72="Correctivo",I72="Manual"),"25%",""))))))</f>
        <v/>
      </c>
      <c r="N72" s="136" t="str">
        <f t="shared" ref="N46:N109" si="21">IF(OR(H72="Preventivo",H72="Detectivo"),"Probabilidad",IF(H72="Correctivo","Impacto",""))</f>
        <v/>
      </c>
      <c r="O72" s="137" t="str">
        <f>IF(A72="","",IF(D72=1,IFERROR(IF(N72="Probabilidad",(VLOOKUP(A72,'Mapa inherente'!$A$10:$M$38,9,FALSE)-(VLOOKUP(A72,'Mapa inherente'!$A$10:$M$38,9,FALSE)*M72)),IF(N72="Impacto",VLOOKUP(A72,'Mapa inherente'!$A$10:$M$38,9,FALSE),"")),""),
IFERROR(IF(N72="Probabilidad",(O71-(O71)*M72),O71),"")))</f>
        <v/>
      </c>
      <c r="P72" s="138" t="str">
        <f t="shared" si="11"/>
        <v/>
      </c>
      <c r="Q72" s="137" t="str">
        <f>IF(A72="","",IF(D72=1,IFERROR(IF(N72="Impacto",(VLOOKUP(A72,'Mapa inherente'!$A$10:$M$38,13,FALSE)-(VLOOKUP(A72,'Mapa inherente'!$A$10:$M$38,13,FALSE)*M72)),IF(N72="Probabilidad",VLOOKUP(A72,'Mapa inherente'!$A$10:$M$38,13,FALSE),"")),""),
                   IFERROR(IF(N72="Impacto",(Q71-(Q71)*M72),Q71),"")))</f>
        <v/>
      </c>
      <c r="R72" s="138" t="str">
        <f t="shared" si="12"/>
        <v/>
      </c>
      <c r="S72" s="138" t="str">
        <f t="shared" si="13"/>
        <v/>
      </c>
      <c r="T72" s="139"/>
    </row>
    <row r="73" spans="1:20" ht="16.5" hidden="1" x14ac:dyDescent="0.25">
      <c r="A73" s="100"/>
      <c r="B73" s="101" t="str">
        <f>IF(A73="","",VLOOKUP(A73,'Mapa inherente'!$A$10:$E$38,5,FALSE))</f>
        <v/>
      </c>
      <c r="C73" s="102" t="str">
        <f>IF(A73="","",VLOOKUP(A73,'Mapa inherente'!$A$10:$N$38,14,FALSE))</f>
        <v/>
      </c>
      <c r="D73" s="133" t="str">
        <f t="shared" si="10"/>
        <v/>
      </c>
      <c r="E73" s="104"/>
      <c r="F73" s="104"/>
      <c r="G73" s="104"/>
      <c r="H73" s="134"/>
      <c r="I73" s="134"/>
      <c r="J73" s="134"/>
      <c r="K73" s="134"/>
      <c r="L73" s="134"/>
      <c r="M73" s="135" t="str">
        <f t="shared" si="20"/>
        <v/>
      </c>
      <c r="N73" s="136" t="str">
        <f t="shared" si="21"/>
        <v/>
      </c>
      <c r="O73" s="137" t="str">
        <f>IF(A73="","",IF(D73=1,IFERROR(IF(N73="Probabilidad",(VLOOKUP(A73,'Mapa inherente'!$A$10:$M$38,9,FALSE)-(VLOOKUP(A73,'Mapa inherente'!$A$10:$M$38,9,FALSE)*M73)),IF(N73="Impacto",VLOOKUP(A73,'Mapa inherente'!$A$10:$M$38,9,FALSE),"")),""),
IFERROR(IF(N73="Probabilidad",(O72-(O72)*M73),O72),"")))</f>
        <v/>
      </c>
      <c r="P73" s="138" t="str">
        <f t="shared" si="11"/>
        <v/>
      </c>
      <c r="Q73" s="137" t="str">
        <f>IF(A73="","",IF(D73=1,IFERROR(IF(N73="Impacto",(VLOOKUP(A73,'Mapa inherente'!$A$10:$M$38,13,FALSE)-(VLOOKUP(A73,'Mapa inherente'!$A$10:$M$38,13,FALSE)*M73)),IF(N73="Probabilidad",VLOOKUP(A73,'Mapa inherente'!$A$10:$M$38,13,FALSE),"")),""),
                   IFERROR(IF(N73="Impacto",(Q72-(Q72)*M73),Q72),"")))</f>
        <v/>
      </c>
      <c r="R73" s="138" t="str">
        <f t="shared" si="12"/>
        <v/>
      </c>
      <c r="S73" s="138" t="str">
        <f t="shared" si="13"/>
        <v/>
      </c>
      <c r="T73" s="139"/>
    </row>
    <row r="74" spans="1:20" ht="16.5" hidden="1" x14ac:dyDescent="0.25">
      <c r="A74" s="100"/>
      <c r="B74" s="101" t="str">
        <f>IF(A74="","",VLOOKUP(A74,'Mapa inherente'!$A$10:$E$38,5,FALSE))</f>
        <v/>
      </c>
      <c r="C74" s="102" t="str">
        <f>IF(A74="","",VLOOKUP(A74,'Mapa inherente'!$A$10:$N$38,14,FALSE))</f>
        <v/>
      </c>
      <c r="D74" s="133" t="str">
        <f t="shared" si="10"/>
        <v/>
      </c>
      <c r="E74" s="104"/>
      <c r="F74" s="104"/>
      <c r="G74" s="104"/>
      <c r="H74" s="134"/>
      <c r="I74" s="134"/>
      <c r="J74" s="134"/>
      <c r="K74" s="134"/>
      <c r="L74" s="134"/>
      <c r="M74" s="135" t="str">
        <f t="shared" si="20"/>
        <v/>
      </c>
      <c r="N74" s="136" t="str">
        <f t="shared" si="21"/>
        <v/>
      </c>
      <c r="O74" s="137" t="str">
        <f>IF(A74="","",IF(D74=1,IFERROR(IF(N74="Probabilidad",(VLOOKUP(A74,'Mapa inherente'!$A$10:$M$38,9,FALSE)-(VLOOKUP(A74,'Mapa inherente'!$A$10:$M$38,9,FALSE)*M74)),IF(N74="Impacto",VLOOKUP(A74,'Mapa inherente'!$A$10:$M$38,9,FALSE),"")),""),
IFERROR(IF(N74="Probabilidad",(O73-(O73)*M74),O73),"")))</f>
        <v/>
      </c>
      <c r="P74" s="138" t="str">
        <f t="shared" si="11"/>
        <v/>
      </c>
      <c r="Q74" s="137" t="str">
        <f>IF(A74="","",IF(D74=1,IFERROR(IF(N74="Impacto",(VLOOKUP(A74,'Mapa inherente'!$A$10:$M$38,13,FALSE)-(VLOOKUP(A74,'Mapa inherente'!$A$10:$M$38,13,FALSE)*M74)),IF(N74="Probabilidad",VLOOKUP(A74,'Mapa inherente'!$A$10:$M$38,13,FALSE),"")),""),
                   IFERROR(IF(N74="Impacto",(Q73-(Q73)*M74),Q73),"")))</f>
        <v/>
      </c>
      <c r="R74" s="138" t="str">
        <f t="shared" si="12"/>
        <v/>
      </c>
      <c r="S74" s="138" t="str">
        <f t="shared" si="13"/>
        <v/>
      </c>
      <c r="T74" s="139"/>
    </row>
    <row r="75" spans="1:20" ht="16.5" hidden="1" x14ac:dyDescent="0.25">
      <c r="A75" s="100"/>
      <c r="B75" s="101" t="str">
        <f>IF(A75="","",VLOOKUP(A75,'Mapa inherente'!$A$10:$E$38,5,FALSE))</f>
        <v/>
      </c>
      <c r="C75" s="102" t="str">
        <f>IF(A75="","",VLOOKUP(A75,'Mapa inherente'!$A$10:$N$38,14,FALSE))</f>
        <v/>
      </c>
      <c r="D75" s="133" t="str">
        <f t="shared" si="10"/>
        <v/>
      </c>
      <c r="E75" s="104"/>
      <c r="F75" s="104"/>
      <c r="G75" s="104"/>
      <c r="H75" s="134"/>
      <c r="I75" s="134"/>
      <c r="J75" s="134"/>
      <c r="K75" s="134"/>
      <c r="L75" s="134"/>
      <c r="M75" s="135" t="str">
        <f t="shared" si="20"/>
        <v/>
      </c>
      <c r="N75" s="136" t="str">
        <f t="shared" si="21"/>
        <v/>
      </c>
      <c r="O75" s="137" t="str">
        <f>IF(A75="","",IF(D75=1,IFERROR(IF(N75="Probabilidad",(VLOOKUP(A75,'Mapa inherente'!$A$10:$M$38,9,FALSE)-(VLOOKUP(A75,'Mapa inherente'!$A$10:$M$38,9,FALSE)*M75)),IF(N75="Impacto",VLOOKUP(A75,'Mapa inherente'!$A$10:$M$38,9,FALSE),"")),""),
IFERROR(IF(N75="Probabilidad",(O74-(O74)*M75),O74),"")))</f>
        <v/>
      </c>
      <c r="P75" s="138" t="str">
        <f t="shared" si="11"/>
        <v/>
      </c>
      <c r="Q75" s="137" t="str">
        <f>IF(A75="","",IF(D75=1,IFERROR(IF(N75="Impacto",(VLOOKUP(A75,'Mapa inherente'!$A$10:$M$38,13,FALSE)-(VLOOKUP(A75,'Mapa inherente'!$A$10:$M$38,13,FALSE)*M75)),IF(N75="Probabilidad",VLOOKUP(A75,'Mapa inherente'!$A$10:$M$38,13,FALSE),"")),""),
                   IFERROR(IF(N75="Impacto",(Q74-(Q74)*M75),Q74),"")))</f>
        <v/>
      </c>
      <c r="R75" s="138" t="str">
        <f t="shared" si="12"/>
        <v/>
      </c>
      <c r="S75" s="138" t="str">
        <f t="shared" si="13"/>
        <v/>
      </c>
      <c r="T75" s="139"/>
    </row>
    <row r="76" spans="1:20" ht="16.5" hidden="1" x14ac:dyDescent="0.25">
      <c r="A76" s="100"/>
      <c r="B76" s="101" t="str">
        <f>IF(A76="","",VLOOKUP(A76,'Mapa inherente'!$A$10:$E$38,5,FALSE))</f>
        <v/>
      </c>
      <c r="C76" s="102" t="str">
        <f>IF(A76="","",VLOOKUP(A76,'Mapa inherente'!$A$10:$N$38,14,FALSE))</f>
        <v/>
      </c>
      <c r="D76" s="133" t="str">
        <f t="shared" si="10"/>
        <v/>
      </c>
      <c r="E76" s="104"/>
      <c r="F76" s="104"/>
      <c r="G76" s="104"/>
      <c r="H76" s="134"/>
      <c r="I76" s="134"/>
      <c r="J76" s="134"/>
      <c r="K76" s="134"/>
      <c r="L76" s="134"/>
      <c r="M76" s="135" t="str">
        <f t="shared" si="20"/>
        <v/>
      </c>
      <c r="N76" s="136" t="str">
        <f t="shared" si="21"/>
        <v/>
      </c>
      <c r="O76" s="137" t="str">
        <f>IF(A76="","",IF(D76=1,IFERROR(IF(N76="Probabilidad",(VLOOKUP(A76,'Mapa inherente'!$A$10:$M$38,9,FALSE)-(VLOOKUP(A76,'Mapa inherente'!$A$10:$M$38,9,FALSE)*M76)),IF(N76="Impacto",VLOOKUP(A76,'Mapa inherente'!$A$10:$M$38,9,FALSE),"")),""),
IFERROR(IF(N76="Probabilidad",(O75-(O75)*M76),O75),"")))</f>
        <v/>
      </c>
      <c r="P76" s="138" t="str">
        <f t="shared" si="11"/>
        <v/>
      </c>
      <c r="Q76" s="137" t="str">
        <f>IF(A76="","",IF(D76=1,IFERROR(IF(N76="Impacto",(VLOOKUP(A76,'Mapa inherente'!$A$10:$M$38,13,FALSE)-(VLOOKUP(A76,'Mapa inherente'!$A$10:$M$38,13,FALSE)*M76)),IF(N76="Probabilidad",VLOOKUP(A76,'Mapa inherente'!$A$10:$M$38,13,FALSE),"")),""),
                   IFERROR(IF(N76="Impacto",(Q75-(Q75)*M76),Q75),"")))</f>
        <v/>
      </c>
      <c r="R76" s="138" t="str">
        <f t="shared" si="12"/>
        <v/>
      </c>
      <c r="S76" s="138" t="str">
        <f t="shared" si="13"/>
        <v/>
      </c>
      <c r="T76" s="139"/>
    </row>
    <row r="77" spans="1:20" ht="16.5" hidden="1" x14ac:dyDescent="0.25">
      <c r="A77" s="100"/>
      <c r="B77" s="101" t="str">
        <f>IF(A77="","",VLOOKUP(A77,'Mapa inherente'!$A$10:$E$38,5,FALSE))</f>
        <v/>
      </c>
      <c r="C77" s="102" t="str">
        <f>IF(A77="","",VLOOKUP(A77,'Mapa inherente'!$A$10:$N$38,14,FALSE))</f>
        <v/>
      </c>
      <c r="D77" s="133" t="str">
        <f t="shared" si="10"/>
        <v/>
      </c>
      <c r="E77" s="104"/>
      <c r="F77" s="104"/>
      <c r="G77" s="104"/>
      <c r="H77" s="134"/>
      <c r="I77" s="134"/>
      <c r="J77" s="134"/>
      <c r="K77" s="134"/>
      <c r="L77" s="134"/>
      <c r="M77" s="135" t="str">
        <f t="shared" si="20"/>
        <v/>
      </c>
      <c r="N77" s="136" t="str">
        <f t="shared" si="21"/>
        <v/>
      </c>
      <c r="O77" s="137" t="str">
        <f>IF(A77="","",IF(D77=1,IFERROR(IF(N77="Probabilidad",(VLOOKUP(A77,'Mapa inherente'!$A$10:$M$38,9,FALSE)-(VLOOKUP(A77,'Mapa inherente'!$A$10:$M$38,9,FALSE)*M77)),IF(N77="Impacto",VLOOKUP(A77,'Mapa inherente'!$A$10:$M$38,9,FALSE),"")),""),
IFERROR(IF(N77="Probabilidad",(O76-(O76)*M77),O76),"")))</f>
        <v/>
      </c>
      <c r="P77" s="138" t="str">
        <f t="shared" si="11"/>
        <v/>
      </c>
      <c r="Q77" s="137" t="str">
        <f>IF(A77="","",IF(D77=1,IFERROR(IF(N77="Impacto",(VLOOKUP(A77,'Mapa inherente'!$A$10:$M$38,13,FALSE)-(VLOOKUP(A77,'Mapa inherente'!$A$10:$M$38,13,FALSE)*M77)),IF(N77="Probabilidad",VLOOKUP(A77,'Mapa inherente'!$A$10:$M$38,13,FALSE),"")),""),
                   IFERROR(IF(N77="Impacto",(Q76-(Q76)*M77),Q76),"")))</f>
        <v/>
      </c>
      <c r="R77" s="138" t="str">
        <f t="shared" si="12"/>
        <v/>
      </c>
      <c r="S77" s="138" t="str">
        <f t="shared" si="13"/>
        <v/>
      </c>
      <c r="T77" s="139"/>
    </row>
    <row r="78" spans="1:20" ht="16.5" hidden="1" x14ac:dyDescent="0.25">
      <c r="A78" s="100"/>
      <c r="B78" s="101" t="str">
        <f>IF(A78="","",VLOOKUP(A78,'Mapa inherente'!$A$10:$E$38,5,FALSE))</f>
        <v/>
      </c>
      <c r="C78" s="102" t="str">
        <f>IF(A78="","",VLOOKUP(A78,'Mapa inherente'!$A$10:$N$38,14,FALSE))</f>
        <v/>
      </c>
      <c r="D78" s="133" t="str">
        <f t="shared" si="10"/>
        <v/>
      </c>
      <c r="E78" s="104"/>
      <c r="F78" s="104"/>
      <c r="G78" s="104"/>
      <c r="H78" s="134"/>
      <c r="I78" s="134"/>
      <c r="J78" s="134"/>
      <c r="K78" s="134"/>
      <c r="L78" s="134"/>
      <c r="M78" s="135" t="str">
        <f t="shared" si="20"/>
        <v/>
      </c>
      <c r="N78" s="136" t="str">
        <f t="shared" si="21"/>
        <v/>
      </c>
      <c r="O78" s="137" t="str">
        <f>IF(A78="","",IF(D78=1,IFERROR(IF(N78="Probabilidad",(VLOOKUP(A78,'Mapa inherente'!$A$10:$M$38,9,FALSE)-(VLOOKUP(A78,'Mapa inherente'!$A$10:$M$38,9,FALSE)*M78)),IF(N78="Impacto",VLOOKUP(A78,'Mapa inherente'!$A$10:$M$38,9,FALSE),"")),""),
IFERROR(IF(N78="Probabilidad",(O77-(O77)*M78),O77),"")))</f>
        <v/>
      </c>
      <c r="P78" s="138" t="str">
        <f t="shared" si="11"/>
        <v/>
      </c>
      <c r="Q78" s="137" t="str">
        <f>IF(A78="","",IF(D78=1,IFERROR(IF(N78="Impacto",(VLOOKUP(A78,'Mapa inherente'!$A$10:$M$38,13,FALSE)-(VLOOKUP(A78,'Mapa inherente'!$A$10:$M$38,13,FALSE)*M78)),IF(N78="Probabilidad",VLOOKUP(A78,'Mapa inherente'!$A$10:$M$38,13,FALSE),"")),""),
                   IFERROR(IF(N78="Impacto",(Q77-(Q77)*M78),Q77),"")))</f>
        <v/>
      </c>
      <c r="R78" s="138" t="str">
        <f t="shared" si="12"/>
        <v/>
      </c>
      <c r="S78" s="138" t="str">
        <f t="shared" si="13"/>
        <v/>
      </c>
      <c r="T78" s="139"/>
    </row>
    <row r="79" spans="1:20" ht="16.5" hidden="1" x14ac:dyDescent="0.25">
      <c r="A79" s="100"/>
      <c r="B79" s="101" t="str">
        <f>IF(A79="","",VLOOKUP(A79,'Mapa inherente'!$A$10:$E$38,5,FALSE))</f>
        <v/>
      </c>
      <c r="C79" s="102" t="str">
        <f>IF(A79="","",VLOOKUP(A79,'Mapa inherente'!$A$10:$N$38,14,FALSE))</f>
        <v/>
      </c>
      <c r="D79" s="133" t="str">
        <f t="shared" si="10"/>
        <v/>
      </c>
      <c r="E79" s="104"/>
      <c r="F79" s="104"/>
      <c r="G79" s="104"/>
      <c r="H79" s="134"/>
      <c r="I79" s="134"/>
      <c r="J79" s="134"/>
      <c r="K79" s="134"/>
      <c r="L79" s="134"/>
      <c r="M79" s="135" t="str">
        <f t="shared" si="20"/>
        <v/>
      </c>
      <c r="N79" s="136" t="str">
        <f t="shared" si="21"/>
        <v/>
      </c>
      <c r="O79" s="137" t="str">
        <f>IF(A79="","",IF(D79=1,IFERROR(IF(N79="Probabilidad",(VLOOKUP(A79,'Mapa inherente'!$A$10:$M$38,9,FALSE)-(VLOOKUP(A79,'Mapa inherente'!$A$10:$M$38,9,FALSE)*M79)),IF(N79="Impacto",VLOOKUP(A79,'Mapa inherente'!$A$10:$M$38,9,FALSE),"")),""),
IFERROR(IF(N79="Probabilidad",(O78-(O78)*M79),O78),"")))</f>
        <v/>
      </c>
      <c r="P79" s="138" t="str">
        <f t="shared" si="11"/>
        <v/>
      </c>
      <c r="Q79" s="137" t="str">
        <f>IF(A79="","",IF(D79=1,IFERROR(IF(N79="Impacto",(VLOOKUP(A79,'Mapa inherente'!$A$10:$M$38,13,FALSE)-(VLOOKUP(A79,'Mapa inherente'!$A$10:$M$38,13,FALSE)*M79)),IF(N79="Probabilidad",VLOOKUP(A79,'Mapa inherente'!$A$10:$M$38,13,FALSE),"")),""),
                   IFERROR(IF(N79="Impacto",(Q78-(Q78)*M79),Q78),"")))</f>
        <v/>
      </c>
      <c r="R79" s="138" t="str">
        <f t="shared" si="12"/>
        <v/>
      </c>
      <c r="S79" s="138" t="str">
        <f t="shared" si="13"/>
        <v/>
      </c>
      <c r="T79" s="139"/>
    </row>
    <row r="80" spans="1:20" ht="16.5" hidden="1" x14ac:dyDescent="0.25">
      <c r="A80" s="100"/>
      <c r="B80" s="101" t="str">
        <f>IF(A80="","",VLOOKUP(A80,'Mapa inherente'!$A$10:$E$38,5,FALSE))</f>
        <v/>
      </c>
      <c r="C80" s="102" t="str">
        <f>IF(A80="","",VLOOKUP(A80,'Mapa inherente'!$A$10:$N$38,14,FALSE))</f>
        <v/>
      </c>
      <c r="D80" s="133" t="str">
        <f t="shared" si="10"/>
        <v/>
      </c>
      <c r="E80" s="104"/>
      <c r="F80" s="104"/>
      <c r="G80" s="104"/>
      <c r="H80" s="134"/>
      <c r="I80" s="134"/>
      <c r="J80" s="134"/>
      <c r="K80" s="134"/>
      <c r="L80" s="134"/>
      <c r="M80" s="135" t="str">
        <f t="shared" si="20"/>
        <v/>
      </c>
      <c r="N80" s="136" t="str">
        <f t="shared" si="21"/>
        <v/>
      </c>
      <c r="O80" s="137" t="str">
        <f>IF(A80="","",IF(D80=1,IFERROR(IF(N80="Probabilidad",(VLOOKUP(A80,'Mapa inherente'!$A$10:$M$38,9,FALSE)-(VLOOKUP(A80,'Mapa inherente'!$A$10:$M$38,9,FALSE)*M80)),IF(N80="Impacto",VLOOKUP(A80,'Mapa inherente'!$A$10:$M$38,9,FALSE),"")),""),
IFERROR(IF(N80="Probabilidad",(O79-(O79)*M80),O79),"")))</f>
        <v/>
      </c>
      <c r="P80" s="138" t="str">
        <f t="shared" si="11"/>
        <v/>
      </c>
      <c r="Q80" s="137" t="str">
        <f>IF(A80="","",IF(D80=1,IFERROR(IF(N80="Impacto",(VLOOKUP(A80,'Mapa inherente'!$A$10:$M$38,13,FALSE)-(VLOOKUP(A80,'Mapa inherente'!$A$10:$M$38,13,FALSE)*M80)),IF(N80="Probabilidad",VLOOKUP(A80,'Mapa inherente'!$A$10:$M$38,13,FALSE),"")),""),
                   IFERROR(IF(N80="Impacto",(Q79-(Q79)*M80),Q79),"")))</f>
        <v/>
      </c>
      <c r="R80" s="138" t="str">
        <f t="shared" si="12"/>
        <v/>
      </c>
      <c r="S80" s="138" t="str">
        <f t="shared" si="13"/>
        <v/>
      </c>
      <c r="T80" s="139"/>
    </row>
    <row r="81" spans="1:20" ht="16.5" hidden="1" x14ac:dyDescent="0.25">
      <c r="A81" s="100"/>
      <c r="B81" s="101" t="str">
        <f>IF(A81="","",VLOOKUP(A81,'Mapa inherente'!$A$10:$E$38,5,FALSE))</f>
        <v/>
      </c>
      <c r="C81" s="102" t="str">
        <f>IF(A81="","",VLOOKUP(A81,'Mapa inherente'!$A$10:$N$38,14,FALSE))</f>
        <v/>
      </c>
      <c r="D81" s="133" t="str">
        <f t="shared" si="10"/>
        <v/>
      </c>
      <c r="E81" s="104"/>
      <c r="F81" s="104"/>
      <c r="G81" s="104"/>
      <c r="H81" s="134"/>
      <c r="I81" s="134"/>
      <c r="J81" s="134"/>
      <c r="K81" s="134"/>
      <c r="L81" s="134"/>
      <c r="M81" s="135" t="str">
        <f t="shared" si="20"/>
        <v/>
      </c>
      <c r="N81" s="136" t="str">
        <f t="shared" si="21"/>
        <v/>
      </c>
      <c r="O81" s="137" t="str">
        <f>IF(A81="","",IF(D81=1,IFERROR(IF(N81="Probabilidad",(VLOOKUP(A81,'Mapa inherente'!$A$10:$M$38,9,FALSE)-(VLOOKUP(A81,'Mapa inherente'!$A$10:$M$38,9,FALSE)*M81)),IF(N81="Impacto",VLOOKUP(A81,'Mapa inherente'!$A$10:$M$38,9,FALSE),"")),""),
IFERROR(IF(N81="Probabilidad",(O80-(O80)*M81),O80),"")))</f>
        <v/>
      </c>
      <c r="P81" s="138" t="str">
        <f t="shared" si="11"/>
        <v/>
      </c>
      <c r="Q81" s="137" t="str">
        <f>IF(A81="","",IF(D81=1,IFERROR(IF(N81="Impacto",(VLOOKUP(A81,'Mapa inherente'!$A$10:$M$38,13,FALSE)-(VLOOKUP(A81,'Mapa inherente'!$A$10:$M$38,13,FALSE)*M81)),IF(N81="Probabilidad",VLOOKUP(A81,'Mapa inherente'!$A$10:$M$38,13,FALSE),"")),""),
                   IFERROR(IF(N81="Impacto",(Q80-(Q80)*M81),Q80),"")))</f>
        <v/>
      </c>
      <c r="R81" s="138" t="str">
        <f t="shared" si="12"/>
        <v/>
      </c>
      <c r="S81" s="138" t="str">
        <f t="shared" si="13"/>
        <v/>
      </c>
      <c r="T81" s="139"/>
    </row>
    <row r="82" spans="1:20" ht="16.5" hidden="1" x14ac:dyDescent="0.25">
      <c r="A82" s="100"/>
      <c r="B82" s="101" t="str">
        <f>IF(A82="","",VLOOKUP(A82,'Mapa inherente'!$A$10:$E$38,5,FALSE))</f>
        <v/>
      </c>
      <c r="C82" s="102" t="str">
        <f>IF(A82="","",VLOOKUP(A82,'Mapa inherente'!$A$10:$N$38,14,FALSE))</f>
        <v/>
      </c>
      <c r="D82" s="133" t="str">
        <f t="shared" si="10"/>
        <v/>
      </c>
      <c r="E82" s="104"/>
      <c r="F82" s="104"/>
      <c r="G82" s="104"/>
      <c r="H82" s="134"/>
      <c r="I82" s="134"/>
      <c r="J82" s="134"/>
      <c r="K82" s="134"/>
      <c r="L82" s="134"/>
      <c r="M82" s="135" t="str">
        <f t="shared" si="20"/>
        <v/>
      </c>
      <c r="N82" s="136" t="str">
        <f t="shared" si="21"/>
        <v/>
      </c>
      <c r="O82" s="137" t="str">
        <f>IF(A82="","",IF(D82=1,IFERROR(IF(N82="Probabilidad",(VLOOKUP(A82,'Mapa inherente'!$A$10:$M$38,9,FALSE)-(VLOOKUP(A82,'Mapa inherente'!$A$10:$M$38,9,FALSE)*M82)),IF(N82="Impacto",VLOOKUP(A82,'Mapa inherente'!$A$10:$M$38,9,FALSE),"")),""),
IFERROR(IF(N82="Probabilidad",(O81-(O81)*M82),O81),"")))</f>
        <v/>
      </c>
      <c r="P82" s="138" t="str">
        <f t="shared" si="11"/>
        <v/>
      </c>
      <c r="Q82" s="137" t="str">
        <f>IF(A82="","",IF(D82=1,IFERROR(IF(N82="Impacto",(VLOOKUP(A82,'Mapa inherente'!$A$10:$M$38,13,FALSE)-(VLOOKUP(A82,'Mapa inherente'!$A$10:$M$38,13,FALSE)*M82)),IF(N82="Probabilidad",VLOOKUP(A82,'Mapa inherente'!$A$10:$M$38,13,FALSE),"")),""),
                   IFERROR(IF(N82="Impacto",(Q81-(Q81)*M82),Q81),"")))</f>
        <v/>
      </c>
      <c r="R82" s="138" t="str">
        <f t="shared" si="12"/>
        <v/>
      </c>
      <c r="S82" s="138" t="str">
        <f t="shared" si="13"/>
        <v/>
      </c>
      <c r="T82" s="139"/>
    </row>
    <row r="83" spans="1:20" ht="16.5" hidden="1" x14ac:dyDescent="0.25">
      <c r="A83" s="100"/>
      <c r="B83" s="101" t="str">
        <f>IF(A83="","",VLOOKUP(A83,'Mapa inherente'!$A$10:$E$38,5,FALSE))</f>
        <v/>
      </c>
      <c r="C83" s="102" t="str">
        <f>IF(A83="","",VLOOKUP(A83,'Mapa inherente'!$A$10:$N$38,14,FALSE))</f>
        <v/>
      </c>
      <c r="D83" s="133" t="str">
        <f t="shared" si="10"/>
        <v/>
      </c>
      <c r="E83" s="104"/>
      <c r="F83" s="104"/>
      <c r="G83" s="104"/>
      <c r="H83" s="134"/>
      <c r="I83" s="134"/>
      <c r="J83" s="134"/>
      <c r="K83" s="134"/>
      <c r="L83" s="134"/>
      <c r="M83" s="135" t="str">
        <f t="shared" si="20"/>
        <v/>
      </c>
      <c r="N83" s="136" t="str">
        <f t="shared" si="21"/>
        <v/>
      </c>
      <c r="O83" s="137" t="str">
        <f>IF(A83="","",IF(D83=1,IFERROR(IF(N83="Probabilidad",(VLOOKUP(A83,'Mapa inherente'!$A$10:$M$38,9,FALSE)-(VLOOKUP(A83,'Mapa inherente'!$A$10:$M$38,9,FALSE)*M83)),IF(N83="Impacto",VLOOKUP(A83,'Mapa inherente'!$A$10:$M$38,9,FALSE),"")),""),
IFERROR(IF(N83="Probabilidad",(O82-(O82)*M83),O82),"")))</f>
        <v/>
      </c>
      <c r="P83" s="138" t="str">
        <f t="shared" si="11"/>
        <v/>
      </c>
      <c r="Q83" s="137" t="str">
        <f>IF(A83="","",IF(D83=1,IFERROR(IF(N83="Impacto",(VLOOKUP(A83,'Mapa inherente'!$A$10:$M$38,13,FALSE)-(VLOOKUP(A83,'Mapa inherente'!$A$10:$M$38,13,FALSE)*M83)),IF(N83="Probabilidad",VLOOKUP(A83,'Mapa inherente'!$A$10:$M$38,13,FALSE),"")),""),
                   IFERROR(IF(N83="Impacto",(Q82-(Q82)*M83),Q82),"")))</f>
        <v/>
      </c>
      <c r="R83" s="138" t="str">
        <f t="shared" si="12"/>
        <v/>
      </c>
      <c r="S83" s="138" t="str">
        <f t="shared" si="13"/>
        <v/>
      </c>
      <c r="T83" s="139"/>
    </row>
    <row r="84" spans="1:20" ht="16.5" hidden="1" x14ac:dyDescent="0.25">
      <c r="A84" s="100"/>
      <c r="B84" s="101" t="str">
        <f>IF(A84="","",VLOOKUP(A84,'Mapa inherente'!$A$10:$E$38,5,FALSE))</f>
        <v/>
      </c>
      <c r="C84" s="102" t="str">
        <f>IF(A84="","",VLOOKUP(A84,'Mapa inherente'!$A$10:$N$38,14,FALSE))</f>
        <v/>
      </c>
      <c r="D84" s="133" t="str">
        <f t="shared" si="10"/>
        <v/>
      </c>
      <c r="E84" s="104"/>
      <c r="F84" s="104"/>
      <c r="G84" s="104"/>
      <c r="H84" s="134"/>
      <c r="I84" s="134"/>
      <c r="J84" s="134"/>
      <c r="K84" s="134"/>
      <c r="L84" s="134"/>
      <c r="M84" s="135" t="str">
        <f t="shared" si="20"/>
        <v/>
      </c>
      <c r="N84" s="136" t="str">
        <f t="shared" si="21"/>
        <v/>
      </c>
      <c r="O84" s="137" t="str">
        <f>IF(A84="","",IF(D84=1,IFERROR(IF(N84="Probabilidad",(VLOOKUP(A84,'Mapa inherente'!$A$10:$M$38,9,FALSE)-(VLOOKUP(A84,'Mapa inherente'!$A$10:$M$38,9,FALSE)*M84)),IF(N84="Impacto",VLOOKUP(A84,'Mapa inherente'!$A$10:$M$38,9,FALSE),"")),""),
IFERROR(IF(N84="Probabilidad",(O83-(O83)*M84),O83),"")))</f>
        <v/>
      </c>
      <c r="P84" s="138" t="str">
        <f t="shared" si="11"/>
        <v/>
      </c>
      <c r="Q84" s="137" t="str">
        <f>IF(A84="","",IF(D84=1,IFERROR(IF(N84="Impacto",(VLOOKUP(A84,'Mapa inherente'!$A$10:$M$38,13,FALSE)-(VLOOKUP(A84,'Mapa inherente'!$A$10:$M$38,13,FALSE)*M84)),IF(N84="Probabilidad",VLOOKUP(A84,'Mapa inherente'!$A$10:$M$38,13,FALSE),"")),""),
                   IFERROR(IF(N84="Impacto",(Q83-(Q83)*M84),Q83),"")))</f>
        <v/>
      </c>
      <c r="R84" s="138" t="str">
        <f t="shared" si="12"/>
        <v/>
      </c>
      <c r="S84" s="138" t="str">
        <f t="shared" si="13"/>
        <v/>
      </c>
      <c r="T84" s="139"/>
    </row>
    <row r="85" spans="1:20" ht="16.5" hidden="1" x14ac:dyDescent="0.25">
      <c r="A85" s="100"/>
      <c r="B85" s="101" t="str">
        <f>IF(A85="","",VLOOKUP(A85,'Mapa inherente'!$A$10:$E$38,5,FALSE))</f>
        <v/>
      </c>
      <c r="C85" s="102" t="str">
        <f>IF(A85="","",VLOOKUP(A85,'Mapa inherente'!$A$10:$N$38,14,FALSE))</f>
        <v/>
      </c>
      <c r="D85" s="133" t="str">
        <f t="shared" si="10"/>
        <v/>
      </c>
      <c r="E85" s="104"/>
      <c r="F85" s="104"/>
      <c r="G85" s="104"/>
      <c r="H85" s="134"/>
      <c r="I85" s="134"/>
      <c r="J85" s="134"/>
      <c r="K85" s="134"/>
      <c r="L85" s="134"/>
      <c r="M85" s="135" t="str">
        <f t="shared" si="20"/>
        <v/>
      </c>
      <c r="N85" s="136" t="str">
        <f t="shared" si="21"/>
        <v/>
      </c>
      <c r="O85" s="137" t="str">
        <f>IF(A85="","",IF(D85=1,IFERROR(IF(N85="Probabilidad",(VLOOKUP(A85,'Mapa inherente'!$A$10:$M$38,9,FALSE)-(VLOOKUP(A85,'Mapa inherente'!$A$10:$M$38,9,FALSE)*M85)),IF(N85="Impacto",VLOOKUP(A85,'Mapa inherente'!$A$10:$M$38,9,FALSE),"")),""),
IFERROR(IF(N85="Probabilidad",(O84-(O84)*M85),O84),"")))</f>
        <v/>
      </c>
      <c r="P85" s="138" t="str">
        <f t="shared" si="11"/>
        <v/>
      </c>
      <c r="Q85" s="137" t="str">
        <f>IF(A85="","",IF(D85=1,IFERROR(IF(N85="Impacto",(VLOOKUP(A85,'Mapa inherente'!$A$10:$M$38,13,FALSE)-(VLOOKUP(A85,'Mapa inherente'!$A$10:$M$38,13,FALSE)*M85)),IF(N85="Probabilidad",VLOOKUP(A85,'Mapa inherente'!$A$10:$M$38,13,FALSE),"")),""),
                   IFERROR(IF(N85="Impacto",(Q84-(Q84)*M85),Q84),"")))</f>
        <v/>
      </c>
      <c r="R85" s="138" t="str">
        <f t="shared" si="12"/>
        <v/>
      </c>
      <c r="S85" s="138" t="str">
        <f t="shared" si="13"/>
        <v/>
      </c>
      <c r="T85" s="139"/>
    </row>
    <row r="86" spans="1:20" ht="16.5" hidden="1" x14ac:dyDescent="0.25">
      <c r="A86" s="100"/>
      <c r="B86" s="101" t="str">
        <f>IF(A86="","",VLOOKUP(A86,'Mapa inherente'!$A$10:$E$38,5,FALSE))</f>
        <v/>
      </c>
      <c r="C86" s="102" t="str">
        <f>IF(A86="","",VLOOKUP(A86,'Mapa inherente'!$A$10:$N$38,14,FALSE))</f>
        <v/>
      </c>
      <c r="D86" s="133" t="str">
        <f t="shared" si="10"/>
        <v/>
      </c>
      <c r="E86" s="104"/>
      <c r="F86" s="104"/>
      <c r="G86" s="104"/>
      <c r="H86" s="134"/>
      <c r="I86" s="134"/>
      <c r="J86" s="134"/>
      <c r="K86" s="134"/>
      <c r="L86" s="134"/>
      <c r="M86" s="135" t="str">
        <f t="shared" si="20"/>
        <v/>
      </c>
      <c r="N86" s="136" t="str">
        <f t="shared" si="21"/>
        <v/>
      </c>
      <c r="O86" s="137" t="str">
        <f>IF(A86="","",IF(D86=1,IFERROR(IF(N86="Probabilidad",(VLOOKUP(A86,'Mapa inherente'!$A$10:$M$38,9,FALSE)-(VLOOKUP(A86,'Mapa inherente'!$A$10:$M$38,9,FALSE)*M86)),IF(N86="Impacto",VLOOKUP(A86,'Mapa inherente'!$A$10:$M$38,9,FALSE),"")),""),
IFERROR(IF(N86="Probabilidad",(O85-(O85)*M86),O85),"")))</f>
        <v/>
      </c>
      <c r="P86" s="138" t="str">
        <f t="shared" si="11"/>
        <v/>
      </c>
      <c r="Q86" s="137" t="str">
        <f>IF(A86="","",IF(D86=1,IFERROR(IF(N86="Impacto",(VLOOKUP(A86,'Mapa inherente'!$A$10:$M$38,13,FALSE)-(VLOOKUP(A86,'Mapa inherente'!$A$10:$M$38,13,FALSE)*M86)),IF(N86="Probabilidad",VLOOKUP(A86,'Mapa inherente'!$A$10:$M$38,13,FALSE),"")),""),
                   IFERROR(IF(N86="Impacto",(Q85-(Q85)*M86),Q85),"")))</f>
        <v/>
      </c>
      <c r="R86" s="138" t="str">
        <f t="shared" si="12"/>
        <v/>
      </c>
      <c r="S86" s="138" t="str">
        <f t="shared" si="13"/>
        <v/>
      </c>
      <c r="T86" s="139"/>
    </row>
    <row r="87" spans="1:20" ht="16.5" hidden="1" x14ac:dyDescent="0.25">
      <c r="A87" s="100"/>
      <c r="B87" s="101" t="str">
        <f>IF(A87="","",VLOOKUP(A87,'Mapa inherente'!$A$10:$E$38,5,FALSE))</f>
        <v/>
      </c>
      <c r="C87" s="102" t="str">
        <f>IF(A87="","",VLOOKUP(A87,'Mapa inherente'!$A$10:$N$38,14,FALSE))</f>
        <v/>
      </c>
      <c r="D87" s="133" t="str">
        <f t="shared" si="10"/>
        <v/>
      </c>
      <c r="E87" s="104"/>
      <c r="F87" s="104"/>
      <c r="G87" s="104"/>
      <c r="H87" s="134"/>
      <c r="I87" s="134"/>
      <c r="J87" s="134"/>
      <c r="K87" s="134"/>
      <c r="L87" s="134"/>
      <c r="M87" s="135" t="str">
        <f t="shared" si="20"/>
        <v/>
      </c>
      <c r="N87" s="136" t="str">
        <f t="shared" si="21"/>
        <v/>
      </c>
      <c r="O87" s="137" t="str">
        <f>IF(A87="","",IF(D87=1,IFERROR(IF(N87="Probabilidad",(VLOOKUP(A87,'Mapa inherente'!$A$10:$M$38,9,FALSE)-(VLOOKUP(A87,'Mapa inherente'!$A$10:$M$38,9,FALSE)*M87)),IF(N87="Impacto",VLOOKUP(A87,'Mapa inherente'!$A$10:$M$38,9,FALSE),"")),""),
IFERROR(IF(N87="Probabilidad",(O86-(O86)*M87),O86),"")))</f>
        <v/>
      </c>
      <c r="P87" s="138" t="str">
        <f t="shared" si="11"/>
        <v/>
      </c>
      <c r="Q87" s="137" t="str">
        <f>IF(A87="","",IF(D87=1,IFERROR(IF(N87="Impacto",(VLOOKUP(A87,'Mapa inherente'!$A$10:$M$38,13,FALSE)-(VLOOKUP(A87,'Mapa inherente'!$A$10:$M$38,13,FALSE)*M87)),IF(N87="Probabilidad",VLOOKUP(A87,'Mapa inherente'!$A$10:$M$38,13,FALSE),"")),""),
                   IFERROR(IF(N87="Impacto",(Q86-(Q86)*M87),Q86),"")))</f>
        <v/>
      </c>
      <c r="R87" s="138" t="str">
        <f t="shared" si="12"/>
        <v/>
      </c>
      <c r="S87" s="138" t="str">
        <f t="shared" si="13"/>
        <v/>
      </c>
      <c r="T87" s="139"/>
    </row>
    <row r="88" spans="1:20" ht="16.5" hidden="1" x14ac:dyDescent="0.25">
      <c r="A88" s="100"/>
      <c r="B88" s="101" t="str">
        <f>IF(A88="","",VLOOKUP(A88,'Mapa inherente'!$A$10:$E$38,5,FALSE))</f>
        <v/>
      </c>
      <c r="C88" s="102" t="str">
        <f>IF(A88="","",VLOOKUP(A88,'Mapa inherente'!$A$10:$N$38,14,FALSE))</f>
        <v/>
      </c>
      <c r="D88" s="133" t="str">
        <f t="shared" si="10"/>
        <v/>
      </c>
      <c r="E88" s="104"/>
      <c r="F88" s="104"/>
      <c r="G88" s="104"/>
      <c r="H88" s="134"/>
      <c r="I88" s="134"/>
      <c r="J88" s="134"/>
      <c r="K88" s="134"/>
      <c r="L88" s="134"/>
      <c r="M88" s="135" t="str">
        <f t="shared" si="20"/>
        <v/>
      </c>
      <c r="N88" s="136" t="str">
        <f t="shared" si="21"/>
        <v/>
      </c>
      <c r="O88" s="137" t="str">
        <f>IF(A88="","",IF(D88=1,IFERROR(IF(N88="Probabilidad",(VLOOKUP(A88,'Mapa inherente'!$A$10:$M$38,9,FALSE)-(VLOOKUP(A88,'Mapa inherente'!$A$10:$M$38,9,FALSE)*M88)),IF(N88="Impacto",VLOOKUP(A88,'Mapa inherente'!$A$10:$M$38,9,FALSE),"")),""),
IFERROR(IF(N88="Probabilidad",(O87-(O87)*M88),O87),"")))</f>
        <v/>
      </c>
      <c r="P88" s="138" t="str">
        <f t="shared" si="11"/>
        <v/>
      </c>
      <c r="Q88" s="137" t="str">
        <f>IF(A88="","",IF(D88=1,IFERROR(IF(N88="Impacto",(VLOOKUP(A88,'Mapa inherente'!$A$10:$M$38,13,FALSE)-(VLOOKUP(A88,'Mapa inherente'!$A$10:$M$38,13,FALSE)*M88)),IF(N88="Probabilidad",VLOOKUP(A88,'Mapa inherente'!$A$10:$M$38,13,FALSE),"")),""),
                   IFERROR(IF(N88="Impacto",(Q87-(Q87)*M88),Q87),"")))</f>
        <v/>
      </c>
      <c r="R88" s="138" t="str">
        <f t="shared" si="12"/>
        <v/>
      </c>
      <c r="S88" s="138" t="str">
        <f t="shared" si="13"/>
        <v/>
      </c>
      <c r="T88" s="139"/>
    </row>
    <row r="89" spans="1:20" ht="16.5" hidden="1" x14ac:dyDescent="0.25">
      <c r="A89" s="100"/>
      <c r="B89" s="101" t="str">
        <f>IF(A89="","",VLOOKUP(A89,'Mapa inherente'!$A$10:$E$38,5,FALSE))</f>
        <v/>
      </c>
      <c r="C89" s="102" t="str">
        <f>IF(A89="","",VLOOKUP(A89,'Mapa inherente'!$A$10:$N$38,14,FALSE))</f>
        <v/>
      </c>
      <c r="D89" s="133" t="str">
        <f t="shared" si="10"/>
        <v/>
      </c>
      <c r="E89" s="104"/>
      <c r="F89" s="104"/>
      <c r="G89" s="104"/>
      <c r="H89" s="134"/>
      <c r="I89" s="134"/>
      <c r="J89" s="134"/>
      <c r="K89" s="134"/>
      <c r="L89" s="134"/>
      <c r="M89" s="135" t="str">
        <f t="shared" si="20"/>
        <v/>
      </c>
      <c r="N89" s="136" t="str">
        <f t="shared" si="21"/>
        <v/>
      </c>
      <c r="O89" s="137" t="str">
        <f>IF(A89="","",IF(D89=1,IFERROR(IF(N89="Probabilidad",(VLOOKUP(A89,'Mapa inherente'!$A$10:$M$38,9,FALSE)-(VLOOKUP(A89,'Mapa inherente'!$A$10:$M$38,9,FALSE)*M89)),IF(N89="Impacto",VLOOKUP(A89,'Mapa inherente'!$A$10:$M$38,9,FALSE),"")),""),
IFERROR(IF(N89="Probabilidad",(O88-(O88)*M89),O88),"")))</f>
        <v/>
      </c>
      <c r="P89" s="138" t="str">
        <f t="shared" si="11"/>
        <v/>
      </c>
      <c r="Q89" s="137" t="str">
        <f>IF(A89="","",IF(D89=1,IFERROR(IF(N89="Impacto",(VLOOKUP(A89,'Mapa inherente'!$A$10:$M$38,13,FALSE)-(VLOOKUP(A89,'Mapa inherente'!$A$10:$M$38,13,FALSE)*M89)),IF(N89="Probabilidad",VLOOKUP(A89,'Mapa inherente'!$A$10:$M$38,13,FALSE),"")),""),
                   IFERROR(IF(N89="Impacto",(Q88-(Q88)*M89),Q88),"")))</f>
        <v/>
      </c>
      <c r="R89" s="138" t="str">
        <f t="shared" si="12"/>
        <v/>
      </c>
      <c r="S89" s="138" t="str">
        <f t="shared" si="13"/>
        <v/>
      </c>
      <c r="T89" s="139"/>
    </row>
    <row r="90" spans="1:20" ht="16.5" hidden="1" x14ac:dyDescent="0.25">
      <c r="A90" s="100"/>
      <c r="B90" s="101" t="str">
        <f>IF(A90="","",VLOOKUP(A90,'Mapa inherente'!$A$10:$E$38,5,FALSE))</f>
        <v/>
      </c>
      <c r="C90" s="102" t="str">
        <f>IF(A90="","",VLOOKUP(A90,'Mapa inherente'!$A$10:$N$38,14,FALSE))</f>
        <v/>
      </c>
      <c r="D90" s="133" t="str">
        <f t="shared" si="10"/>
        <v/>
      </c>
      <c r="E90" s="104"/>
      <c r="F90" s="104"/>
      <c r="G90" s="104"/>
      <c r="H90" s="134"/>
      <c r="I90" s="134"/>
      <c r="J90" s="134"/>
      <c r="K90" s="134"/>
      <c r="L90" s="134"/>
      <c r="M90" s="135" t="str">
        <f t="shared" si="20"/>
        <v/>
      </c>
      <c r="N90" s="136" t="str">
        <f t="shared" si="21"/>
        <v/>
      </c>
      <c r="O90" s="137" t="str">
        <f>IF(A90="","",IF(D90=1,IFERROR(IF(N90="Probabilidad",(VLOOKUP(A90,'Mapa inherente'!$A$10:$M$38,9,FALSE)-(VLOOKUP(A90,'Mapa inherente'!$A$10:$M$38,9,FALSE)*M90)),IF(N90="Impacto",VLOOKUP(A90,'Mapa inherente'!$A$10:$M$38,9,FALSE),"")),""),
IFERROR(IF(N90="Probabilidad",(O89-(O89)*M90),O89),"")))</f>
        <v/>
      </c>
      <c r="P90" s="138" t="str">
        <f t="shared" si="11"/>
        <v/>
      </c>
      <c r="Q90" s="137" t="str">
        <f>IF(A90="","",IF(D90=1,IFERROR(IF(N90="Impacto",(VLOOKUP(A90,'Mapa inherente'!$A$10:$M$38,13,FALSE)-(VLOOKUP(A90,'Mapa inherente'!$A$10:$M$38,13,FALSE)*M90)),IF(N90="Probabilidad",VLOOKUP(A90,'Mapa inherente'!$A$10:$M$38,13,FALSE),"")),""),
                   IFERROR(IF(N90="Impacto",(Q89-(Q89)*M90),Q89),"")))</f>
        <v/>
      </c>
      <c r="R90" s="138" t="str">
        <f t="shared" si="12"/>
        <v/>
      </c>
      <c r="S90" s="138" t="str">
        <f t="shared" si="13"/>
        <v/>
      </c>
      <c r="T90" s="139"/>
    </row>
    <row r="91" spans="1:20" ht="16.5" hidden="1" x14ac:dyDescent="0.25">
      <c r="A91" s="100"/>
      <c r="B91" s="101" t="str">
        <f>IF(A91="","",VLOOKUP(A91,'Mapa inherente'!$A$10:$E$38,5,FALSE))</f>
        <v/>
      </c>
      <c r="C91" s="102" t="str">
        <f>IF(A91="","",VLOOKUP(A91,'Mapa inherente'!$A$10:$N$38,14,FALSE))</f>
        <v/>
      </c>
      <c r="D91" s="133" t="str">
        <f t="shared" si="10"/>
        <v/>
      </c>
      <c r="E91" s="104"/>
      <c r="F91" s="104"/>
      <c r="G91" s="104"/>
      <c r="H91" s="134"/>
      <c r="I91" s="134"/>
      <c r="J91" s="134"/>
      <c r="K91" s="134"/>
      <c r="L91" s="134"/>
      <c r="M91" s="135" t="str">
        <f t="shared" si="20"/>
        <v/>
      </c>
      <c r="N91" s="136" t="str">
        <f t="shared" si="21"/>
        <v/>
      </c>
      <c r="O91" s="137" t="str">
        <f>IF(A91="","",IF(D91=1,IFERROR(IF(N91="Probabilidad",(VLOOKUP(A91,'Mapa inherente'!$A$10:$M$38,9,FALSE)-(VLOOKUP(A91,'Mapa inherente'!$A$10:$M$38,9,FALSE)*M91)),IF(N91="Impacto",VLOOKUP(A91,'Mapa inherente'!$A$10:$M$38,9,FALSE),"")),""),
IFERROR(IF(N91="Probabilidad",(O90-(O90)*M91),O90),"")))</f>
        <v/>
      </c>
      <c r="P91" s="138" t="str">
        <f t="shared" si="11"/>
        <v/>
      </c>
      <c r="Q91" s="137" t="str">
        <f>IF(A91="","",IF(D91=1,IFERROR(IF(N91="Impacto",(VLOOKUP(A91,'Mapa inherente'!$A$10:$M$38,13,FALSE)-(VLOOKUP(A91,'Mapa inherente'!$A$10:$M$38,13,FALSE)*M91)),IF(N91="Probabilidad",VLOOKUP(A91,'Mapa inherente'!$A$10:$M$38,13,FALSE),"")),""),
                   IFERROR(IF(N91="Impacto",(Q90-(Q90)*M91),Q90),"")))</f>
        <v/>
      </c>
      <c r="R91" s="138" t="str">
        <f t="shared" si="12"/>
        <v/>
      </c>
      <c r="S91" s="138" t="str">
        <f t="shared" si="13"/>
        <v/>
      </c>
      <c r="T91" s="139"/>
    </row>
    <row r="92" spans="1:20" ht="16.5" hidden="1" x14ac:dyDescent="0.25">
      <c r="A92" s="100"/>
      <c r="B92" s="101" t="str">
        <f>IF(A92="","",VLOOKUP(A92,'Mapa inherente'!$A$10:$E$38,5,FALSE))</f>
        <v/>
      </c>
      <c r="C92" s="102" t="str">
        <f>IF(A92="","",VLOOKUP(A92,'Mapa inherente'!$A$10:$N$38,14,FALSE))</f>
        <v/>
      </c>
      <c r="D92" s="133" t="str">
        <f t="shared" si="10"/>
        <v/>
      </c>
      <c r="E92" s="104"/>
      <c r="F92" s="104"/>
      <c r="G92" s="104"/>
      <c r="H92" s="134"/>
      <c r="I92" s="134"/>
      <c r="J92" s="134"/>
      <c r="K92" s="134"/>
      <c r="L92" s="134"/>
      <c r="M92" s="135" t="str">
        <f t="shared" si="20"/>
        <v/>
      </c>
      <c r="N92" s="136" t="str">
        <f t="shared" si="21"/>
        <v/>
      </c>
      <c r="O92" s="137" t="str">
        <f>IF(A92="","",IF(D92=1,IFERROR(IF(N92="Probabilidad",(VLOOKUP(A92,'Mapa inherente'!$A$10:$M$38,9,FALSE)-(VLOOKUP(A92,'Mapa inherente'!$A$10:$M$38,9,FALSE)*M92)),IF(N92="Impacto",VLOOKUP(A92,'Mapa inherente'!$A$10:$M$38,9,FALSE),"")),""),
IFERROR(IF(N92="Probabilidad",(O91-(O91)*M92),O91),"")))</f>
        <v/>
      </c>
      <c r="P92" s="138" t="str">
        <f t="shared" si="11"/>
        <v/>
      </c>
      <c r="Q92" s="137" t="str">
        <f>IF(A92="","",IF(D92=1,IFERROR(IF(N92="Impacto",(VLOOKUP(A92,'Mapa inherente'!$A$10:$M$38,13,FALSE)-(VLOOKUP(A92,'Mapa inherente'!$A$10:$M$38,13,FALSE)*M92)),IF(N92="Probabilidad",VLOOKUP(A92,'Mapa inherente'!$A$10:$M$38,13,FALSE),"")),""),
                   IFERROR(IF(N92="Impacto",(Q91-(Q91)*M92),Q91),"")))</f>
        <v/>
      </c>
      <c r="R92" s="138" t="str">
        <f t="shared" si="12"/>
        <v/>
      </c>
      <c r="S92" s="138" t="str">
        <f t="shared" si="13"/>
        <v/>
      </c>
      <c r="T92" s="139"/>
    </row>
    <row r="93" spans="1:20" ht="16.5" hidden="1" x14ac:dyDescent="0.25">
      <c r="A93" s="100"/>
      <c r="B93" s="101" t="str">
        <f>IF(A93="","",VLOOKUP(A93,'Mapa inherente'!$A$10:$E$38,5,FALSE))</f>
        <v/>
      </c>
      <c r="C93" s="102" t="str">
        <f>IF(A93="","",VLOOKUP(A93,'Mapa inherente'!$A$10:$N$38,14,FALSE))</f>
        <v/>
      </c>
      <c r="D93" s="133" t="str">
        <f t="shared" si="10"/>
        <v/>
      </c>
      <c r="E93" s="104"/>
      <c r="F93" s="104"/>
      <c r="G93" s="104"/>
      <c r="H93" s="134"/>
      <c r="I93" s="134"/>
      <c r="J93" s="134"/>
      <c r="K93" s="134"/>
      <c r="L93" s="134"/>
      <c r="M93" s="135" t="str">
        <f t="shared" si="20"/>
        <v/>
      </c>
      <c r="N93" s="136" t="str">
        <f t="shared" si="21"/>
        <v/>
      </c>
      <c r="O93" s="137" t="str">
        <f>IF(A93="","",IF(D93=1,IFERROR(IF(N93="Probabilidad",(VLOOKUP(A93,'Mapa inherente'!$A$10:$M$38,9,FALSE)-(VLOOKUP(A93,'Mapa inherente'!$A$10:$M$38,9,FALSE)*M93)),IF(N93="Impacto",VLOOKUP(A93,'Mapa inherente'!$A$10:$M$38,9,FALSE),"")),""),
IFERROR(IF(N93="Probabilidad",(O92-(O92)*M93),O92),"")))</f>
        <v/>
      </c>
      <c r="P93" s="138" t="str">
        <f t="shared" si="11"/>
        <v/>
      </c>
      <c r="Q93" s="137" t="str">
        <f>IF(A93="","",IF(D93=1,IFERROR(IF(N93="Impacto",(VLOOKUP(A93,'Mapa inherente'!$A$10:$M$38,13,FALSE)-(VLOOKUP(A93,'Mapa inherente'!$A$10:$M$38,13,FALSE)*M93)),IF(N93="Probabilidad",VLOOKUP(A93,'Mapa inherente'!$A$10:$M$38,13,FALSE),"")),""),
                   IFERROR(IF(N93="Impacto",(Q92-(Q92)*M93),Q92),"")))</f>
        <v/>
      </c>
      <c r="R93" s="138" t="str">
        <f t="shared" si="12"/>
        <v/>
      </c>
      <c r="S93" s="138" t="str">
        <f t="shared" si="13"/>
        <v/>
      </c>
      <c r="T93" s="139"/>
    </row>
    <row r="94" spans="1:20" ht="16.5" hidden="1" x14ac:dyDescent="0.25">
      <c r="A94" s="100"/>
      <c r="B94" s="101" t="str">
        <f>IF(A94="","",VLOOKUP(A94,'Mapa inherente'!$A$10:$E$38,5,FALSE))</f>
        <v/>
      </c>
      <c r="C94" s="102" t="str">
        <f>IF(A94="","",VLOOKUP(A94,'Mapa inherente'!$A$10:$N$38,14,FALSE))</f>
        <v/>
      </c>
      <c r="D94" s="133" t="str">
        <f t="shared" si="10"/>
        <v/>
      </c>
      <c r="E94" s="104"/>
      <c r="F94" s="104"/>
      <c r="G94" s="104"/>
      <c r="H94" s="134"/>
      <c r="I94" s="134"/>
      <c r="J94" s="134"/>
      <c r="K94" s="134"/>
      <c r="L94" s="134"/>
      <c r="M94" s="135" t="str">
        <f t="shared" si="20"/>
        <v/>
      </c>
      <c r="N94" s="136" t="str">
        <f t="shared" si="21"/>
        <v/>
      </c>
      <c r="O94" s="137" t="str">
        <f>IF(A94="","",IF(D94=1,IFERROR(IF(N94="Probabilidad",(VLOOKUP(A94,'Mapa inherente'!$A$10:$M$38,9,FALSE)-(VLOOKUP(A94,'Mapa inherente'!$A$10:$M$38,9,FALSE)*M94)),IF(N94="Impacto",VLOOKUP(A94,'Mapa inherente'!$A$10:$M$38,9,FALSE),"")),""),
IFERROR(IF(N94="Probabilidad",(O93-(O93)*M94),O93),"")))</f>
        <v/>
      </c>
      <c r="P94" s="138" t="str">
        <f t="shared" si="11"/>
        <v/>
      </c>
      <c r="Q94" s="137" t="str">
        <f>IF(A94="","",IF(D94=1,IFERROR(IF(N94="Impacto",(VLOOKUP(A94,'Mapa inherente'!$A$10:$M$38,13,FALSE)-(VLOOKUP(A94,'Mapa inherente'!$A$10:$M$38,13,FALSE)*M94)),IF(N94="Probabilidad",VLOOKUP(A94,'Mapa inherente'!$A$10:$M$38,13,FALSE),"")),""),
                   IFERROR(IF(N94="Impacto",(Q93-(Q93)*M94),Q93),"")))</f>
        <v/>
      </c>
      <c r="R94" s="138" t="str">
        <f t="shared" si="12"/>
        <v/>
      </c>
      <c r="S94" s="138" t="str">
        <f t="shared" si="13"/>
        <v/>
      </c>
      <c r="T94" s="139"/>
    </row>
    <row r="95" spans="1:20" ht="16.5" hidden="1" x14ac:dyDescent="0.25">
      <c r="A95" s="100"/>
      <c r="B95" s="101" t="str">
        <f>IF(A95="","",VLOOKUP(A95,'Mapa inherente'!$A$10:$E$38,5,FALSE))</f>
        <v/>
      </c>
      <c r="C95" s="102" t="str">
        <f>IF(A95="","",VLOOKUP(A95,'Mapa inherente'!$A$10:$N$38,14,FALSE))</f>
        <v/>
      </c>
      <c r="D95" s="133" t="str">
        <f t="shared" si="10"/>
        <v/>
      </c>
      <c r="E95" s="104"/>
      <c r="F95" s="104"/>
      <c r="G95" s="104"/>
      <c r="H95" s="134"/>
      <c r="I95" s="134"/>
      <c r="J95" s="134"/>
      <c r="K95" s="134"/>
      <c r="L95" s="134"/>
      <c r="M95" s="135" t="str">
        <f t="shared" si="20"/>
        <v/>
      </c>
      <c r="N95" s="136" t="str">
        <f t="shared" si="21"/>
        <v/>
      </c>
      <c r="O95" s="137" t="str">
        <f>IF(A95="","",IF(D95=1,IFERROR(IF(N95="Probabilidad",(VLOOKUP(A95,'Mapa inherente'!$A$10:$M$38,9,FALSE)-(VLOOKUP(A95,'Mapa inherente'!$A$10:$M$38,9,FALSE)*M95)),IF(N95="Impacto",VLOOKUP(A95,'Mapa inherente'!$A$10:$M$38,9,FALSE),"")),""),
IFERROR(IF(N95="Probabilidad",(O94-(O94)*M95),O94),"")))</f>
        <v/>
      </c>
      <c r="P95" s="138" t="str">
        <f t="shared" si="11"/>
        <v/>
      </c>
      <c r="Q95" s="137" t="str">
        <f>IF(A95="","",IF(D95=1,IFERROR(IF(N95="Impacto",(VLOOKUP(A95,'Mapa inherente'!$A$10:$M$38,13,FALSE)-(VLOOKUP(A95,'Mapa inherente'!$A$10:$M$38,13,FALSE)*M95)),IF(N95="Probabilidad",VLOOKUP(A95,'Mapa inherente'!$A$10:$M$38,13,FALSE),"")),""),
                   IFERROR(IF(N95="Impacto",(Q94-(Q94)*M95),Q94),"")))</f>
        <v/>
      </c>
      <c r="R95" s="138" t="str">
        <f t="shared" si="12"/>
        <v/>
      </c>
      <c r="S95" s="138" t="str">
        <f t="shared" si="13"/>
        <v/>
      </c>
      <c r="T95" s="139"/>
    </row>
    <row r="96" spans="1:20" ht="16.5" hidden="1" x14ac:dyDescent="0.25">
      <c r="A96" s="100"/>
      <c r="B96" s="101" t="str">
        <f>IF(A96="","",VLOOKUP(A96,'Mapa inherente'!$A$10:$E$38,5,FALSE))</f>
        <v/>
      </c>
      <c r="C96" s="102" t="str">
        <f>IF(A96="","",VLOOKUP(A96,'Mapa inherente'!$A$10:$N$38,14,FALSE))</f>
        <v/>
      </c>
      <c r="D96" s="133" t="str">
        <f t="shared" si="10"/>
        <v/>
      </c>
      <c r="E96" s="104"/>
      <c r="F96" s="104"/>
      <c r="G96" s="104"/>
      <c r="H96" s="134"/>
      <c r="I96" s="134"/>
      <c r="J96" s="134"/>
      <c r="K96" s="134"/>
      <c r="L96" s="134"/>
      <c r="M96" s="135" t="str">
        <f t="shared" si="20"/>
        <v/>
      </c>
      <c r="N96" s="136" t="str">
        <f t="shared" si="21"/>
        <v/>
      </c>
      <c r="O96" s="137" t="str">
        <f>IF(A96="","",IF(D96=1,IFERROR(IF(N96="Probabilidad",(VLOOKUP(A96,'Mapa inherente'!$A$10:$M$38,9,FALSE)-(VLOOKUP(A96,'Mapa inherente'!$A$10:$M$38,9,FALSE)*M96)),IF(N96="Impacto",VLOOKUP(A96,'Mapa inherente'!$A$10:$M$38,9,FALSE),"")),""),
IFERROR(IF(N96="Probabilidad",(O95-(O95)*M96),O95),"")))</f>
        <v/>
      </c>
      <c r="P96" s="138" t="str">
        <f t="shared" si="11"/>
        <v/>
      </c>
      <c r="Q96" s="137" t="str">
        <f>IF(A96="","",IF(D96=1,IFERROR(IF(N96="Impacto",(VLOOKUP(A96,'Mapa inherente'!$A$10:$M$38,13,FALSE)-(VLOOKUP(A96,'Mapa inherente'!$A$10:$M$38,13,FALSE)*M96)),IF(N96="Probabilidad",VLOOKUP(A96,'Mapa inherente'!$A$10:$M$38,13,FALSE),"")),""),
                   IFERROR(IF(N96="Impacto",(Q95-(Q95)*M96),Q95),"")))</f>
        <v/>
      </c>
      <c r="R96" s="138" t="str">
        <f t="shared" si="12"/>
        <v/>
      </c>
      <c r="S96" s="138" t="str">
        <f t="shared" si="13"/>
        <v/>
      </c>
      <c r="T96" s="139"/>
    </row>
    <row r="97" spans="1:20" ht="16.5" hidden="1" x14ac:dyDescent="0.25">
      <c r="A97" s="100"/>
      <c r="B97" s="101" t="str">
        <f>IF(A97="","",VLOOKUP(A97,'Mapa inherente'!$A$10:$E$38,5,FALSE))</f>
        <v/>
      </c>
      <c r="C97" s="102" t="str">
        <f>IF(A97="","",VLOOKUP(A97,'Mapa inherente'!$A$10:$N$38,14,FALSE))</f>
        <v/>
      </c>
      <c r="D97" s="133" t="str">
        <f t="shared" si="10"/>
        <v/>
      </c>
      <c r="E97" s="104"/>
      <c r="F97" s="104"/>
      <c r="G97" s="104"/>
      <c r="H97" s="134"/>
      <c r="I97" s="134"/>
      <c r="J97" s="134"/>
      <c r="K97" s="134"/>
      <c r="L97" s="134"/>
      <c r="M97" s="135" t="str">
        <f t="shared" si="20"/>
        <v/>
      </c>
      <c r="N97" s="136" t="str">
        <f t="shared" si="21"/>
        <v/>
      </c>
      <c r="O97" s="137" t="str">
        <f>IF(A97="","",IF(D97=1,IFERROR(IF(N97="Probabilidad",(VLOOKUP(A97,'Mapa inherente'!$A$10:$M$38,9,FALSE)-(VLOOKUP(A97,'Mapa inherente'!$A$10:$M$38,9,FALSE)*M97)),IF(N97="Impacto",VLOOKUP(A97,'Mapa inherente'!$A$10:$M$38,9,FALSE),"")),""),
IFERROR(IF(N97="Probabilidad",(O96-(O96)*M97),O96),"")))</f>
        <v/>
      </c>
      <c r="P97" s="138" t="str">
        <f t="shared" si="11"/>
        <v/>
      </c>
      <c r="Q97" s="137" t="str">
        <f>IF(A97="","",IF(D97=1,IFERROR(IF(N97="Impacto",(VLOOKUP(A97,'Mapa inherente'!$A$10:$M$38,13,FALSE)-(VLOOKUP(A97,'Mapa inherente'!$A$10:$M$38,13,FALSE)*M97)),IF(N97="Probabilidad",VLOOKUP(A97,'Mapa inherente'!$A$10:$M$38,13,FALSE),"")),""),
                   IFERROR(IF(N97="Impacto",(Q96-(Q96)*M97),Q96),"")))</f>
        <v/>
      </c>
      <c r="R97" s="138" t="str">
        <f t="shared" si="12"/>
        <v/>
      </c>
      <c r="S97" s="138" t="str">
        <f t="shared" si="13"/>
        <v/>
      </c>
      <c r="T97" s="139"/>
    </row>
    <row r="98" spans="1:20" ht="16.5" hidden="1" x14ac:dyDescent="0.25">
      <c r="A98" s="100"/>
      <c r="B98" s="101" t="str">
        <f>IF(A98="","",VLOOKUP(A98,'Mapa inherente'!$A$10:$E$38,5,FALSE))</f>
        <v/>
      </c>
      <c r="C98" s="102" t="str">
        <f>IF(A98="","",VLOOKUP(A98,'Mapa inherente'!$A$10:$N$38,14,FALSE))</f>
        <v/>
      </c>
      <c r="D98" s="133" t="str">
        <f t="shared" si="10"/>
        <v/>
      </c>
      <c r="E98" s="104"/>
      <c r="F98" s="104"/>
      <c r="G98" s="104"/>
      <c r="H98" s="134"/>
      <c r="I98" s="134"/>
      <c r="J98" s="134"/>
      <c r="K98" s="134"/>
      <c r="L98" s="134"/>
      <c r="M98" s="135" t="str">
        <f t="shared" si="20"/>
        <v/>
      </c>
      <c r="N98" s="136" t="str">
        <f t="shared" si="21"/>
        <v/>
      </c>
      <c r="O98" s="137" t="str">
        <f>IF(A98="","",IF(D98=1,IFERROR(IF(N98="Probabilidad",(VLOOKUP(A98,'Mapa inherente'!$A$10:$M$38,9,FALSE)-(VLOOKUP(A98,'Mapa inherente'!$A$10:$M$38,9,FALSE)*M98)),IF(N98="Impacto",VLOOKUP(A98,'Mapa inherente'!$A$10:$M$38,9,FALSE),"")),""),
IFERROR(IF(N98="Probabilidad",(O97-(O97)*M98),O97),"")))</f>
        <v/>
      </c>
      <c r="P98" s="138" t="str">
        <f t="shared" si="11"/>
        <v/>
      </c>
      <c r="Q98" s="137" t="str">
        <f>IF(A98="","",IF(D98=1,IFERROR(IF(N98="Impacto",(VLOOKUP(A98,'Mapa inherente'!$A$10:$M$38,13,FALSE)-(VLOOKUP(A98,'Mapa inherente'!$A$10:$M$38,13,FALSE)*M98)),IF(N98="Probabilidad",VLOOKUP(A98,'Mapa inherente'!$A$10:$M$38,13,FALSE),"")),""),
                   IFERROR(IF(N98="Impacto",(Q97-(Q97)*M98),Q97),"")))</f>
        <v/>
      </c>
      <c r="R98" s="138" t="str">
        <f t="shared" si="12"/>
        <v/>
      </c>
      <c r="S98" s="138" t="str">
        <f t="shared" si="13"/>
        <v/>
      </c>
      <c r="T98" s="139"/>
    </row>
    <row r="99" spans="1:20" ht="16.5" hidden="1" x14ac:dyDescent="0.25">
      <c r="A99" s="100"/>
      <c r="B99" s="101" t="str">
        <f>IF(A99="","",VLOOKUP(A99,'Mapa inherente'!$A$10:$E$38,5,FALSE))</f>
        <v/>
      </c>
      <c r="C99" s="102" t="str">
        <f>IF(A99="","",VLOOKUP(A99,'Mapa inherente'!$A$10:$N$38,14,FALSE))</f>
        <v/>
      </c>
      <c r="D99" s="133" t="str">
        <f t="shared" si="10"/>
        <v/>
      </c>
      <c r="E99" s="104"/>
      <c r="F99" s="104"/>
      <c r="G99" s="104"/>
      <c r="H99" s="134"/>
      <c r="I99" s="134"/>
      <c r="J99" s="134"/>
      <c r="K99" s="134"/>
      <c r="L99" s="134"/>
      <c r="M99" s="135" t="str">
        <f t="shared" si="20"/>
        <v/>
      </c>
      <c r="N99" s="136" t="str">
        <f t="shared" si="21"/>
        <v/>
      </c>
      <c r="O99" s="137" t="str">
        <f>IF(A99="","",IF(D99=1,IFERROR(IF(N99="Probabilidad",(VLOOKUP(A99,'Mapa inherente'!$A$10:$M$38,9,FALSE)-(VLOOKUP(A99,'Mapa inherente'!$A$10:$M$38,9,FALSE)*M99)),IF(N99="Impacto",VLOOKUP(A99,'Mapa inherente'!$A$10:$M$38,9,FALSE),"")),""),
IFERROR(IF(N99="Probabilidad",(O98-(O98)*M99),O98),"")))</f>
        <v/>
      </c>
      <c r="P99" s="138" t="str">
        <f t="shared" si="11"/>
        <v/>
      </c>
      <c r="Q99" s="137" t="str">
        <f>IF(A99="","",IF(D99=1,IFERROR(IF(N99="Impacto",(VLOOKUP(A99,'Mapa inherente'!$A$10:$M$38,13,FALSE)-(VLOOKUP(A99,'Mapa inherente'!$A$10:$M$38,13,FALSE)*M99)),IF(N99="Probabilidad",VLOOKUP(A99,'Mapa inherente'!$A$10:$M$38,13,FALSE),"")),""),
                   IFERROR(IF(N99="Impacto",(Q98-(Q98)*M99),Q98),"")))</f>
        <v/>
      </c>
      <c r="R99" s="138" t="str">
        <f t="shared" si="12"/>
        <v/>
      </c>
      <c r="S99" s="138" t="str">
        <f t="shared" si="13"/>
        <v/>
      </c>
      <c r="T99" s="139"/>
    </row>
    <row r="100" spans="1:20" ht="16.5" hidden="1" x14ac:dyDescent="0.25">
      <c r="A100" s="100"/>
      <c r="B100" s="101" t="str">
        <f>IF(A100="","",VLOOKUP(A100,'Mapa inherente'!$A$10:$E$38,5,FALSE))</f>
        <v/>
      </c>
      <c r="C100" s="102" t="str">
        <f>IF(A100="","",VLOOKUP(A100,'Mapa inherente'!$A$10:$N$38,14,FALSE))</f>
        <v/>
      </c>
      <c r="D100" s="133" t="str">
        <f t="shared" si="10"/>
        <v/>
      </c>
      <c r="E100" s="104"/>
      <c r="F100" s="104"/>
      <c r="G100" s="104"/>
      <c r="H100" s="134"/>
      <c r="I100" s="134"/>
      <c r="J100" s="134"/>
      <c r="K100" s="134"/>
      <c r="L100" s="134"/>
      <c r="M100" s="135" t="str">
        <f t="shared" si="20"/>
        <v/>
      </c>
      <c r="N100" s="136" t="str">
        <f t="shared" si="21"/>
        <v/>
      </c>
      <c r="O100" s="137" t="str">
        <f>IF(A100="","",IF(D100=1,IFERROR(IF(N100="Probabilidad",(VLOOKUP(A100,'Mapa inherente'!$A$10:$M$38,9,FALSE)-(VLOOKUP(A100,'Mapa inherente'!$A$10:$M$38,9,FALSE)*M100)),IF(N100="Impacto",VLOOKUP(A100,'Mapa inherente'!$A$10:$M$38,9,FALSE),"")),""),
IFERROR(IF(N100="Probabilidad",(O99-(O99)*M100),O99),"")))</f>
        <v/>
      </c>
      <c r="P100" s="138" t="str">
        <f t="shared" si="11"/>
        <v/>
      </c>
      <c r="Q100" s="137" t="str">
        <f>IF(A100="","",IF(D100=1,IFERROR(IF(N100="Impacto",(VLOOKUP(A100,'Mapa inherente'!$A$10:$M$38,13,FALSE)-(VLOOKUP(A100,'Mapa inherente'!$A$10:$M$38,13,FALSE)*M100)),IF(N100="Probabilidad",VLOOKUP(A100,'Mapa inherente'!$A$10:$M$38,13,FALSE),"")),""),
                   IFERROR(IF(N100="Impacto",(Q99-(Q99)*M100),Q99),"")))</f>
        <v/>
      </c>
      <c r="R100" s="138" t="str">
        <f t="shared" si="12"/>
        <v/>
      </c>
      <c r="S100" s="138" t="str">
        <f t="shared" si="13"/>
        <v/>
      </c>
      <c r="T100" s="139"/>
    </row>
    <row r="101" spans="1:20" ht="16.5" hidden="1" x14ac:dyDescent="0.25">
      <c r="A101" s="100"/>
      <c r="B101" s="101" t="str">
        <f>IF(A101="","",VLOOKUP(A101,'Mapa inherente'!$A$10:$E$38,5,FALSE))</f>
        <v/>
      </c>
      <c r="C101" s="102" t="str">
        <f>IF(A101="","",VLOOKUP(A101,'Mapa inherente'!$A$10:$N$38,14,FALSE))</f>
        <v/>
      </c>
      <c r="D101" s="133" t="str">
        <f t="shared" si="10"/>
        <v/>
      </c>
      <c r="E101" s="104"/>
      <c r="F101" s="104"/>
      <c r="G101" s="104"/>
      <c r="H101" s="134"/>
      <c r="I101" s="134"/>
      <c r="J101" s="134"/>
      <c r="K101" s="134"/>
      <c r="L101" s="134"/>
      <c r="M101" s="135" t="str">
        <f t="shared" si="20"/>
        <v/>
      </c>
      <c r="N101" s="136" t="str">
        <f t="shared" si="21"/>
        <v/>
      </c>
      <c r="O101" s="137" t="str">
        <f>IF(A101="","",IF(D101=1,IFERROR(IF(N101="Probabilidad",(VLOOKUP(A101,'Mapa inherente'!$A$10:$M$38,9,FALSE)-(VLOOKUP(A101,'Mapa inherente'!$A$10:$M$38,9,FALSE)*M101)),IF(N101="Impacto",VLOOKUP(A101,'Mapa inherente'!$A$10:$M$38,9,FALSE),"")),""),
IFERROR(IF(N101="Probabilidad",(O100-(O100)*M101),O100),"")))</f>
        <v/>
      </c>
      <c r="P101" s="138" t="str">
        <f t="shared" si="11"/>
        <v/>
      </c>
      <c r="Q101" s="137" t="str">
        <f>IF(A101="","",IF(D101=1,IFERROR(IF(N101="Impacto",(VLOOKUP(A101,'Mapa inherente'!$A$10:$M$38,13,FALSE)-(VLOOKUP(A101,'Mapa inherente'!$A$10:$M$38,13,FALSE)*M101)),IF(N101="Probabilidad",VLOOKUP(A101,'Mapa inherente'!$A$10:$M$38,13,FALSE),"")),""),
                   IFERROR(IF(N101="Impacto",(Q100-(Q100)*M101),Q100),"")))</f>
        <v/>
      </c>
      <c r="R101" s="138" t="str">
        <f t="shared" si="12"/>
        <v/>
      </c>
      <c r="S101" s="138" t="str">
        <f t="shared" si="13"/>
        <v/>
      </c>
      <c r="T101" s="139"/>
    </row>
    <row r="102" spans="1:20" ht="16.5" hidden="1" x14ac:dyDescent="0.25">
      <c r="A102" s="100"/>
      <c r="B102" s="101" t="str">
        <f>IF(A102="","",VLOOKUP(A102,'Mapa inherente'!$A$10:$E$38,5,FALSE))</f>
        <v/>
      </c>
      <c r="C102" s="102" t="str">
        <f>IF(A102="","",VLOOKUP(A102,'Mapa inherente'!$A$10:$N$38,14,FALSE))</f>
        <v/>
      </c>
      <c r="D102" s="133" t="str">
        <f t="shared" si="10"/>
        <v/>
      </c>
      <c r="E102" s="104"/>
      <c r="F102" s="104"/>
      <c r="G102" s="104"/>
      <c r="H102" s="134"/>
      <c r="I102" s="134"/>
      <c r="J102" s="134"/>
      <c r="K102" s="134"/>
      <c r="L102" s="134"/>
      <c r="M102" s="135" t="str">
        <f t="shared" si="20"/>
        <v/>
      </c>
      <c r="N102" s="136" t="str">
        <f t="shared" si="21"/>
        <v/>
      </c>
      <c r="O102" s="137" t="str">
        <f>IF(A102="","",IF(D102=1,IFERROR(IF(N102="Probabilidad",(VLOOKUP(A102,'Mapa inherente'!$A$10:$M$38,9,FALSE)-(VLOOKUP(A102,'Mapa inherente'!$A$10:$M$38,9,FALSE)*M102)),IF(N102="Impacto",VLOOKUP(A102,'Mapa inherente'!$A$10:$M$38,9,FALSE),"")),""),
IFERROR(IF(N102="Probabilidad",(O101-(O101)*M102),O101),"")))</f>
        <v/>
      </c>
      <c r="P102" s="138" t="str">
        <f t="shared" si="11"/>
        <v/>
      </c>
      <c r="Q102" s="137" t="str">
        <f>IF(A102="","",IF(D102=1,IFERROR(IF(N102="Impacto",(VLOOKUP(A102,'Mapa inherente'!$A$10:$M$38,13,FALSE)-(VLOOKUP(A102,'Mapa inherente'!$A$10:$M$38,13,FALSE)*M102)),IF(N102="Probabilidad",VLOOKUP(A102,'Mapa inherente'!$A$10:$M$38,13,FALSE),"")),""),
                   IFERROR(IF(N102="Impacto",(Q101-(Q101)*M102),Q101),"")))</f>
        <v/>
      </c>
      <c r="R102" s="138" t="str">
        <f t="shared" si="12"/>
        <v/>
      </c>
      <c r="S102" s="138" t="str">
        <f t="shared" si="13"/>
        <v/>
      </c>
      <c r="T102" s="139"/>
    </row>
    <row r="103" spans="1:20" ht="16.5" hidden="1" x14ac:dyDescent="0.25">
      <c r="A103" s="100"/>
      <c r="B103" s="101" t="str">
        <f>IF(A103="","",VLOOKUP(A103,'Mapa inherente'!$A$10:$E$38,5,FALSE))</f>
        <v/>
      </c>
      <c r="C103" s="102" t="str">
        <f>IF(A103="","",VLOOKUP(A103,'Mapa inherente'!$A$10:$N$38,14,FALSE))</f>
        <v/>
      </c>
      <c r="D103" s="133" t="str">
        <f t="shared" si="10"/>
        <v/>
      </c>
      <c r="E103" s="104"/>
      <c r="F103" s="104"/>
      <c r="G103" s="104"/>
      <c r="H103" s="134"/>
      <c r="I103" s="134"/>
      <c r="J103" s="134"/>
      <c r="K103" s="134"/>
      <c r="L103" s="134"/>
      <c r="M103" s="135" t="str">
        <f t="shared" si="20"/>
        <v/>
      </c>
      <c r="N103" s="136" t="str">
        <f t="shared" si="21"/>
        <v/>
      </c>
      <c r="O103" s="137" t="str">
        <f>IF(A103="","",IF(D103=1,IFERROR(IF(N103="Probabilidad",(VLOOKUP(A103,'Mapa inherente'!$A$10:$M$38,9,FALSE)-(VLOOKUP(A103,'Mapa inherente'!$A$10:$M$38,9,FALSE)*M103)),IF(N103="Impacto",VLOOKUP(A103,'Mapa inherente'!$A$10:$M$38,9,FALSE),"")),""),
IFERROR(IF(N103="Probabilidad",(O102-(O102)*M103),O102),"")))</f>
        <v/>
      </c>
      <c r="P103" s="138" t="str">
        <f t="shared" si="11"/>
        <v/>
      </c>
      <c r="Q103" s="137" t="str">
        <f>IF(A103="","",IF(D103=1,IFERROR(IF(N103="Impacto",(VLOOKUP(A103,'Mapa inherente'!$A$10:$M$38,13,FALSE)-(VLOOKUP(A103,'Mapa inherente'!$A$10:$M$38,13,FALSE)*M103)),IF(N103="Probabilidad",VLOOKUP(A103,'Mapa inherente'!$A$10:$M$38,13,FALSE),"")),""),
                   IFERROR(IF(N103="Impacto",(Q102-(Q102)*M103),Q102),"")))</f>
        <v/>
      </c>
      <c r="R103" s="138" t="str">
        <f t="shared" si="12"/>
        <v/>
      </c>
      <c r="S103" s="138" t="str">
        <f t="shared" si="13"/>
        <v/>
      </c>
      <c r="T103" s="139"/>
    </row>
    <row r="104" spans="1:20" ht="16.5" hidden="1" x14ac:dyDescent="0.25">
      <c r="A104" s="100"/>
      <c r="B104" s="101" t="str">
        <f>IF(A104="","",VLOOKUP(A104,'Mapa inherente'!$A$10:$E$38,5,FALSE))</f>
        <v/>
      </c>
      <c r="C104" s="102" t="str">
        <f>IF(A104="","",VLOOKUP(A104,'Mapa inherente'!$A$10:$N$38,14,FALSE))</f>
        <v/>
      </c>
      <c r="D104" s="133" t="str">
        <f t="shared" si="10"/>
        <v/>
      </c>
      <c r="E104" s="104"/>
      <c r="F104" s="104"/>
      <c r="G104" s="104"/>
      <c r="H104" s="134"/>
      <c r="I104" s="134"/>
      <c r="J104" s="134"/>
      <c r="K104" s="134"/>
      <c r="L104" s="134"/>
      <c r="M104" s="135" t="str">
        <f t="shared" si="20"/>
        <v/>
      </c>
      <c r="N104" s="136" t="str">
        <f t="shared" si="21"/>
        <v/>
      </c>
      <c r="O104" s="137" t="str">
        <f>IF(A104="","",IF(D104=1,IFERROR(IF(N104="Probabilidad",(VLOOKUP(A104,'Mapa inherente'!$A$10:$M$38,9,FALSE)-(VLOOKUP(A104,'Mapa inherente'!$A$10:$M$38,9,FALSE)*M104)),IF(N104="Impacto",VLOOKUP(A104,'Mapa inherente'!$A$10:$M$38,9,FALSE),"")),""),
IFERROR(IF(N104="Probabilidad",(O103-(O103)*M104),O103),"")))</f>
        <v/>
      </c>
      <c r="P104" s="138" t="str">
        <f t="shared" si="11"/>
        <v/>
      </c>
      <c r="Q104" s="137" t="str">
        <f>IF(A104="","",IF(D104=1,IFERROR(IF(N104="Impacto",(VLOOKUP(A104,'Mapa inherente'!$A$10:$M$38,13,FALSE)-(VLOOKUP(A104,'Mapa inherente'!$A$10:$M$38,13,FALSE)*M104)),IF(N104="Probabilidad",VLOOKUP(A104,'Mapa inherente'!$A$10:$M$38,13,FALSE),"")),""),
                   IFERROR(IF(N104="Impacto",(Q103-(Q103)*M104),Q103),"")))</f>
        <v/>
      </c>
      <c r="R104" s="138" t="str">
        <f t="shared" si="12"/>
        <v/>
      </c>
      <c r="S104" s="138" t="str">
        <f t="shared" si="13"/>
        <v/>
      </c>
      <c r="T104" s="139"/>
    </row>
    <row r="105" spans="1:20" ht="16.5" hidden="1" x14ac:dyDescent="0.25">
      <c r="A105" s="100"/>
      <c r="B105" s="101" t="str">
        <f>IF(A105="","",VLOOKUP(A105,'Mapa inherente'!$A$10:$E$38,5,FALSE))</f>
        <v/>
      </c>
      <c r="C105" s="102" t="str">
        <f>IF(A105="","",VLOOKUP(A105,'Mapa inherente'!$A$10:$N$38,14,FALSE))</f>
        <v/>
      </c>
      <c r="D105" s="133" t="str">
        <f t="shared" si="10"/>
        <v/>
      </c>
      <c r="E105" s="104"/>
      <c r="F105" s="104"/>
      <c r="G105" s="104"/>
      <c r="H105" s="134"/>
      <c r="I105" s="134"/>
      <c r="J105" s="134"/>
      <c r="K105" s="134"/>
      <c r="L105" s="134"/>
      <c r="M105" s="135" t="str">
        <f t="shared" si="20"/>
        <v/>
      </c>
      <c r="N105" s="136" t="str">
        <f t="shared" si="21"/>
        <v/>
      </c>
      <c r="O105" s="137" t="str">
        <f>IF(A105="","",IF(D105=1,IFERROR(IF(N105="Probabilidad",(VLOOKUP(A105,'Mapa inherente'!$A$10:$M$38,9,FALSE)-(VLOOKUP(A105,'Mapa inherente'!$A$10:$M$38,9,FALSE)*M105)),IF(N105="Impacto",VLOOKUP(A105,'Mapa inherente'!$A$10:$M$38,9,FALSE),"")),""),
IFERROR(IF(N105="Probabilidad",(O104-(O104)*M105),O104),"")))</f>
        <v/>
      </c>
      <c r="P105" s="138" t="str">
        <f t="shared" si="11"/>
        <v/>
      </c>
      <c r="Q105" s="137" t="str">
        <f>IF(A105="","",IF(D105=1,IFERROR(IF(N105="Impacto",(VLOOKUP(A105,'Mapa inherente'!$A$10:$M$38,13,FALSE)-(VLOOKUP(A105,'Mapa inherente'!$A$10:$M$38,13,FALSE)*M105)),IF(N105="Probabilidad",VLOOKUP(A105,'Mapa inherente'!$A$10:$M$38,13,FALSE),"")),""),
                   IFERROR(IF(N105="Impacto",(Q104-(Q104)*M105),Q104),"")))</f>
        <v/>
      </c>
      <c r="R105" s="138" t="str">
        <f t="shared" si="12"/>
        <v/>
      </c>
      <c r="S105" s="138" t="str">
        <f t="shared" si="13"/>
        <v/>
      </c>
      <c r="T105" s="139"/>
    </row>
    <row r="106" spans="1:20" ht="16.5" hidden="1" x14ac:dyDescent="0.25">
      <c r="A106" s="100"/>
      <c r="B106" s="101" t="str">
        <f>IF(A106="","",VLOOKUP(A106,'Mapa inherente'!$A$10:$E$38,5,FALSE))</f>
        <v/>
      </c>
      <c r="C106" s="102" t="str">
        <f>IF(A106="","",VLOOKUP(A106,'Mapa inherente'!$A$10:$N$38,14,FALSE))</f>
        <v/>
      </c>
      <c r="D106" s="133" t="str">
        <f t="shared" si="10"/>
        <v/>
      </c>
      <c r="E106" s="104"/>
      <c r="F106" s="104"/>
      <c r="G106" s="104"/>
      <c r="H106" s="134"/>
      <c r="I106" s="134"/>
      <c r="J106" s="134"/>
      <c r="K106" s="134"/>
      <c r="L106" s="134"/>
      <c r="M106" s="135" t="str">
        <f t="shared" si="20"/>
        <v/>
      </c>
      <c r="N106" s="136" t="str">
        <f t="shared" si="21"/>
        <v/>
      </c>
      <c r="O106" s="137" t="str">
        <f>IF(A106="","",IF(D106=1,IFERROR(IF(N106="Probabilidad",(VLOOKUP(A106,'Mapa inherente'!$A$10:$M$38,9,FALSE)-(VLOOKUP(A106,'Mapa inherente'!$A$10:$M$38,9,FALSE)*M106)),IF(N106="Impacto",VLOOKUP(A106,'Mapa inherente'!$A$10:$M$38,9,FALSE),"")),""),
IFERROR(IF(N106="Probabilidad",(O105-(O105)*M106),O105),"")))</f>
        <v/>
      </c>
      <c r="P106" s="138" t="str">
        <f t="shared" si="11"/>
        <v/>
      </c>
      <c r="Q106" s="137" t="str">
        <f>IF(A106="","",IF(D106=1,IFERROR(IF(N106="Impacto",(VLOOKUP(A106,'Mapa inherente'!$A$10:$M$38,13,FALSE)-(VLOOKUP(A106,'Mapa inherente'!$A$10:$M$38,13,FALSE)*M106)),IF(N106="Probabilidad",VLOOKUP(A106,'Mapa inherente'!$A$10:$M$38,13,FALSE),"")),""),
                   IFERROR(IF(N106="Impacto",(Q105-(Q105)*M106),Q105),"")))</f>
        <v/>
      </c>
      <c r="R106" s="138" t="str">
        <f t="shared" si="12"/>
        <v/>
      </c>
      <c r="S106" s="138" t="str">
        <f t="shared" si="13"/>
        <v/>
      </c>
      <c r="T106" s="139"/>
    </row>
    <row r="107" spans="1:20" ht="16.5" hidden="1" x14ac:dyDescent="0.25">
      <c r="A107" s="100"/>
      <c r="B107" s="101" t="str">
        <f>IF(A107="","",VLOOKUP(A107,'Mapa inherente'!$A$10:$E$38,5,FALSE))</f>
        <v/>
      </c>
      <c r="C107" s="102" t="str">
        <f>IF(A107="","",VLOOKUP(A107,'Mapa inherente'!$A$10:$N$38,14,FALSE))</f>
        <v/>
      </c>
      <c r="D107" s="133" t="str">
        <f t="shared" si="10"/>
        <v/>
      </c>
      <c r="E107" s="104"/>
      <c r="F107" s="104"/>
      <c r="G107" s="104"/>
      <c r="H107" s="134"/>
      <c r="I107" s="134"/>
      <c r="J107" s="134"/>
      <c r="K107" s="134"/>
      <c r="L107" s="134"/>
      <c r="M107" s="135" t="str">
        <f t="shared" si="20"/>
        <v/>
      </c>
      <c r="N107" s="136" t="str">
        <f t="shared" si="21"/>
        <v/>
      </c>
      <c r="O107" s="137" t="str">
        <f>IF(A107="","",IF(D107=1,IFERROR(IF(N107="Probabilidad",(VLOOKUP(A107,'Mapa inherente'!$A$10:$M$38,9,FALSE)-(VLOOKUP(A107,'Mapa inherente'!$A$10:$M$38,9,FALSE)*M107)),IF(N107="Impacto",VLOOKUP(A107,'Mapa inherente'!$A$10:$M$38,9,FALSE),"")),""),
IFERROR(IF(N107="Probabilidad",(O106-(O106)*M107),O106),"")))</f>
        <v/>
      </c>
      <c r="P107" s="138" t="str">
        <f t="shared" si="11"/>
        <v/>
      </c>
      <c r="Q107" s="137" t="str">
        <f>IF(A107="","",IF(D107=1,IFERROR(IF(N107="Impacto",(VLOOKUP(A107,'Mapa inherente'!$A$10:$M$38,13,FALSE)-(VLOOKUP(A107,'Mapa inherente'!$A$10:$M$38,13,FALSE)*M107)),IF(N107="Probabilidad",VLOOKUP(A107,'Mapa inherente'!$A$10:$M$38,13,FALSE),"")),""),
                   IFERROR(IF(N107="Impacto",(Q106-(Q106)*M107),Q106),"")))</f>
        <v/>
      </c>
      <c r="R107" s="138" t="str">
        <f t="shared" si="12"/>
        <v/>
      </c>
      <c r="S107" s="138" t="str">
        <f t="shared" si="13"/>
        <v/>
      </c>
      <c r="T107" s="139"/>
    </row>
    <row r="108" spans="1:20" ht="16.5" hidden="1" x14ac:dyDescent="0.25">
      <c r="A108" s="100"/>
      <c r="B108" s="101" t="str">
        <f>IF(A108="","",VLOOKUP(A108,'Mapa inherente'!$A$10:$E$38,5,FALSE))</f>
        <v/>
      </c>
      <c r="C108" s="102" t="str">
        <f>IF(A108="","",VLOOKUP(A108,'Mapa inherente'!$A$10:$N$38,14,FALSE))</f>
        <v/>
      </c>
      <c r="D108" s="133" t="str">
        <f t="shared" si="10"/>
        <v/>
      </c>
      <c r="E108" s="104"/>
      <c r="F108" s="104"/>
      <c r="G108" s="104"/>
      <c r="H108" s="134"/>
      <c r="I108" s="134"/>
      <c r="J108" s="134"/>
      <c r="K108" s="134"/>
      <c r="L108" s="134"/>
      <c r="M108" s="135" t="str">
        <f t="shared" si="20"/>
        <v/>
      </c>
      <c r="N108" s="136" t="str">
        <f t="shared" si="21"/>
        <v/>
      </c>
      <c r="O108" s="137" t="str">
        <f>IF(A108="","",IF(D108=1,IFERROR(IF(N108="Probabilidad",(VLOOKUP(A108,'Mapa inherente'!$A$10:$M$38,9,FALSE)-(VLOOKUP(A108,'Mapa inherente'!$A$10:$M$38,9,FALSE)*M108)),IF(N108="Impacto",VLOOKUP(A108,'Mapa inherente'!$A$10:$M$38,9,FALSE),"")),""),
IFERROR(IF(N108="Probabilidad",(O107-(O107)*M108),O107),"")))</f>
        <v/>
      </c>
      <c r="P108" s="138" t="str">
        <f t="shared" si="11"/>
        <v/>
      </c>
      <c r="Q108" s="137" t="str">
        <f>IF(A108="","",IF(D108=1,IFERROR(IF(N108="Impacto",(VLOOKUP(A108,'Mapa inherente'!$A$10:$M$38,13,FALSE)-(VLOOKUP(A108,'Mapa inherente'!$A$10:$M$38,13,FALSE)*M108)),IF(N108="Probabilidad",VLOOKUP(A108,'Mapa inherente'!$A$10:$M$38,13,FALSE),"")),""),
                   IFERROR(IF(N108="Impacto",(Q107-(Q107)*M108),Q107),"")))</f>
        <v/>
      </c>
      <c r="R108" s="138" t="str">
        <f t="shared" si="12"/>
        <v/>
      </c>
      <c r="S108" s="138" t="str">
        <f t="shared" si="13"/>
        <v/>
      </c>
      <c r="T108" s="139"/>
    </row>
    <row r="109" spans="1:20" ht="16.5" hidden="1" x14ac:dyDescent="0.25">
      <c r="A109" s="100"/>
      <c r="B109" s="101" t="str">
        <f>IF(A109="","",VLOOKUP(A109,'Mapa inherente'!$A$10:$E$38,5,FALSE))</f>
        <v/>
      </c>
      <c r="C109" s="102" t="str">
        <f>IF(A109="","",VLOOKUP(A109,'Mapa inherente'!$A$10:$N$38,14,FALSE))</f>
        <v/>
      </c>
      <c r="D109" s="133" t="str">
        <f t="shared" si="10"/>
        <v/>
      </c>
      <c r="E109" s="104"/>
      <c r="F109" s="104"/>
      <c r="G109" s="104"/>
      <c r="H109" s="134"/>
      <c r="I109" s="134"/>
      <c r="J109" s="134"/>
      <c r="K109" s="134"/>
      <c r="L109" s="134"/>
      <c r="M109" s="135" t="str">
        <f t="shared" si="20"/>
        <v/>
      </c>
      <c r="N109" s="136" t="str">
        <f t="shared" si="21"/>
        <v/>
      </c>
      <c r="O109" s="137" t="str">
        <f>IF(A109="","",IF(D109=1,IFERROR(IF(N109="Probabilidad",(VLOOKUP(A109,'Mapa inherente'!$A$10:$M$38,9,FALSE)-(VLOOKUP(A109,'Mapa inherente'!$A$10:$M$38,9,FALSE)*M109)),IF(N109="Impacto",VLOOKUP(A109,'Mapa inherente'!$A$10:$M$38,9,FALSE),"")),""),
IFERROR(IF(N109="Probabilidad",(O108-(O108)*M109),O108),"")))</f>
        <v/>
      </c>
      <c r="P109" s="138" t="str">
        <f t="shared" si="11"/>
        <v/>
      </c>
      <c r="Q109" s="137" t="str">
        <f>IF(A109="","",IF(D109=1,IFERROR(IF(N109="Impacto",(VLOOKUP(A109,'Mapa inherente'!$A$10:$M$38,13,FALSE)-(VLOOKUP(A109,'Mapa inherente'!$A$10:$M$38,13,FALSE)*M109)),IF(N109="Probabilidad",VLOOKUP(A109,'Mapa inherente'!$A$10:$M$38,13,FALSE),"")),""),
                   IFERROR(IF(N109="Impacto",(Q108-(Q108)*M109),Q108),"")))</f>
        <v/>
      </c>
      <c r="R109" s="138" t="str">
        <f t="shared" si="12"/>
        <v/>
      </c>
      <c r="S109" s="138" t="str">
        <f t="shared" si="13"/>
        <v/>
      </c>
      <c r="T109" s="139"/>
    </row>
    <row r="110" spans="1:20" ht="16.5" hidden="1" x14ac:dyDescent="0.25">
      <c r="A110" s="100"/>
      <c r="B110" s="101" t="str">
        <f>IF(A110="","",VLOOKUP(A110,'Mapa inherente'!$A$10:$E$38,5,FALSE))</f>
        <v/>
      </c>
      <c r="C110" s="102" t="str">
        <f>IF(A110="","",VLOOKUP(A110,'Mapa inherente'!$A$10:$N$38,14,FALSE))</f>
        <v/>
      </c>
      <c r="D110" s="133" t="str">
        <f t="shared" ref="D110:D140" si="22">IF(B110="","",IF(B110=B109,D109+1,1))</f>
        <v/>
      </c>
      <c r="E110" s="104"/>
      <c r="F110" s="104"/>
      <c r="G110" s="104"/>
      <c r="H110" s="134"/>
      <c r="I110" s="134"/>
      <c r="J110" s="134"/>
      <c r="K110" s="134"/>
      <c r="L110" s="134"/>
      <c r="M110" s="135" t="str">
        <f t="shared" ref="M110:M140" si="23">IF(AND(H110="Preventivo",I110="Automático"),"50%",IF(AND(H110="Preventivo",I110="Manual"),"40%",IF(AND(H110="Detectivo",I110="Automático"),"40%",IF(AND(H110="Detectivo",I110="Manual"),"30%",IF(AND(H110="Correctivo",I110="Automático"),"35%",IF(AND(H110="Correctivo",I110="Manual"),"25%",""))))))</f>
        <v/>
      </c>
      <c r="N110" s="136" t="str">
        <f t="shared" ref="N110:N140" si="24">IF(OR(H110="Preventivo",H110="Detectivo"),"Probabilidad",IF(H110="Correctivo","Impacto",""))</f>
        <v/>
      </c>
      <c r="O110" s="137" t="str">
        <f>IF(A110="","",IF(D110=1,IFERROR(IF(N110="Probabilidad",(VLOOKUP(A110,'Mapa inherente'!$A$10:$M$38,9,FALSE)-(VLOOKUP(A110,'Mapa inherente'!$A$10:$M$38,9,FALSE)*M110)),IF(N110="Impacto",VLOOKUP(A110,'Mapa inherente'!$A$10:$M$38,9,FALSE),"")),""),
IFERROR(IF(N110="Probabilidad",(O109-(O109)*M110),O109),"")))</f>
        <v/>
      </c>
      <c r="P110" s="138" t="str">
        <f t="shared" ref="P110:P140" si="25">IFERROR(IF(O110="","",IF(O110&lt;=0.2,"Muy Baja",IF(O110&lt;=0.4,"Baja",IF(O110&lt;=0.6,"Media",IF(O110&lt;=0.8,"Alta","Muy Alta"))))),"")</f>
        <v/>
      </c>
      <c r="Q110" s="137" t="str">
        <f>IF(A110="","",IF(D110=1,IFERROR(IF(N110="Impacto",(VLOOKUP(A110,'Mapa inherente'!$A$10:$M$38,13,FALSE)-(VLOOKUP(A110,'Mapa inherente'!$A$10:$M$38,13,FALSE)*M110)),IF(N110="Probabilidad",VLOOKUP(A110,'Mapa inherente'!$A$10:$M$38,13,FALSE),"")),""),
                   IFERROR(IF(N110="Impacto",(Q109-(Q109)*M110),Q109),"")))</f>
        <v/>
      </c>
      <c r="R110" s="138" t="str">
        <f t="shared" ref="R110:R140" si="26">IFERROR(IF(Q110="","",IF(Q110&lt;=0.2,"Leve",IF(Q110&lt;=0.4,"Menor",IF(Q110&lt;=0.6,"Moderado",IF(Q110&lt;=0.8,"Mayor","Catastrófico"))))),"")</f>
        <v/>
      </c>
      <c r="S110" s="138" t="str">
        <f t="shared" ref="S110:S140" si="27">IFERROR(IF(OR(AND(P110="Muy Baja",R110="Leve"),AND(P110="Muy Baja",R110="Menor"),AND(P110="Baja",R110="Leve")),"Bajo",IF(OR(AND(P110="Muy baja",R110="Moderado"),AND(P110="Baja",R110="Menor"),AND(P110="Baja",R110="Moderado"),AND(P110="Media",R110="Leve"),AND(P110="Media",R110="Menor"),AND(P110="Media",R110="Moderado"),AND(P110="Alta",R110="Leve"),AND(P110="Alta",R110="Menor")),"Moderado",IF(OR(AND(P110="Muy Baja",R110="Mayor"),AND(P110="Baja",R110="Mayor"),AND(P110="Media",R110="Mayor"),AND(P110="Alta",R110="Moderado"),AND(P110="Alta",R110="Mayor"),AND(P110="Muy Alta",R110="Leve"),AND(P110="Muy Alta",R110="Menor"),AND(P110="Muy Alta",R110="Moderado"),AND(P110="Muy Alta",R110="Mayor")),"Alto",IF(OR(AND(P110="Muy Baja",R110="Catastrófico"),AND(P110="Baja",R110="Catastrófico"),AND(P110="Media",R110="Catastrófico"),AND(P110="Alta",R110="Catastrófico"),AND(P110="Muy Alta",R110="Catastrófico")),"Extremo","")))),"")</f>
        <v/>
      </c>
      <c r="T110" s="139"/>
    </row>
    <row r="111" spans="1:20" ht="16.5" hidden="1" x14ac:dyDescent="0.25">
      <c r="A111" s="100"/>
      <c r="B111" s="101" t="str">
        <f>IF(A111="","",VLOOKUP(A111,'Mapa inherente'!$A$10:$E$38,5,FALSE))</f>
        <v/>
      </c>
      <c r="C111" s="102" t="str">
        <f>IF(A111="","",VLOOKUP(A111,'Mapa inherente'!$A$10:$N$38,14,FALSE))</f>
        <v/>
      </c>
      <c r="D111" s="133" t="str">
        <f t="shared" si="22"/>
        <v/>
      </c>
      <c r="E111" s="104"/>
      <c r="F111" s="104"/>
      <c r="G111" s="104"/>
      <c r="H111" s="134"/>
      <c r="I111" s="134"/>
      <c r="J111" s="134"/>
      <c r="K111" s="134"/>
      <c r="L111" s="134"/>
      <c r="M111" s="135" t="str">
        <f t="shared" si="23"/>
        <v/>
      </c>
      <c r="N111" s="136" t="str">
        <f t="shared" si="24"/>
        <v/>
      </c>
      <c r="O111" s="137" t="str">
        <f>IF(A111="","",IF(D111=1,IFERROR(IF(N111="Probabilidad",(VLOOKUP(A111,'Mapa inherente'!$A$10:$M$38,9,FALSE)-(VLOOKUP(A111,'Mapa inherente'!$A$10:$M$38,9,FALSE)*M111)),IF(N111="Impacto",VLOOKUP(A111,'Mapa inherente'!$A$10:$M$38,9,FALSE),"")),""),
IFERROR(IF(N111="Probabilidad",(O110-(O110)*M111),O110),"")))</f>
        <v/>
      </c>
      <c r="P111" s="138" t="str">
        <f t="shared" si="25"/>
        <v/>
      </c>
      <c r="Q111" s="137" t="str">
        <f>IF(A111="","",IF(D111=1,IFERROR(IF(N111="Impacto",(VLOOKUP(A111,'Mapa inherente'!$A$10:$M$38,13,FALSE)-(VLOOKUP(A111,'Mapa inherente'!$A$10:$M$38,13,FALSE)*M111)),IF(N111="Probabilidad",VLOOKUP(A111,'Mapa inherente'!$A$10:$M$38,13,FALSE),"")),""),
                   IFERROR(IF(N111="Impacto",(Q110-(Q110)*M111),Q110),"")))</f>
        <v/>
      </c>
      <c r="R111" s="138" t="str">
        <f t="shared" si="26"/>
        <v/>
      </c>
      <c r="S111" s="138" t="str">
        <f t="shared" si="27"/>
        <v/>
      </c>
      <c r="T111" s="139"/>
    </row>
    <row r="112" spans="1:20" ht="16.5" hidden="1" x14ac:dyDescent="0.25">
      <c r="A112" s="100"/>
      <c r="B112" s="101" t="str">
        <f>IF(A112="","",VLOOKUP(A112,'Mapa inherente'!$A$10:$E$38,5,FALSE))</f>
        <v/>
      </c>
      <c r="C112" s="102" t="str">
        <f>IF(A112="","",VLOOKUP(A112,'Mapa inherente'!$A$10:$N$38,14,FALSE))</f>
        <v/>
      </c>
      <c r="D112" s="133" t="str">
        <f t="shared" si="22"/>
        <v/>
      </c>
      <c r="E112" s="104"/>
      <c r="F112" s="104"/>
      <c r="G112" s="104"/>
      <c r="H112" s="134"/>
      <c r="I112" s="134"/>
      <c r="J112" s="134"/>
      <c r="K112" s="134"/>
      <c r="L112" s="134"/>
      <c r="M112" s="135" t="str">
        <f t="shared" si="23"/>
        <v/>
      </c>
      <c r="N112" s="136" t="str">
        <f t="shared" si="24"/>
        <v/>
      </c>
      <c r="O112" s="137" t="str">
        <f>IF(A112="","",IF(D112=1,IFERROR(IF(N112="Probabilidad",(VLOOKUP(A112,'Mapa inherente'!$A$10:$M$38,9,FALSE)-(VLOOKUP(A112,'Mapa inherente'!$A$10:$M$38,9,FALSE)*M112)),IF(N112="Impacto",VLOOKUP(A112,'Mapa inherente'!$A$10:$M$38,9,FALSE),"")),""),
IFERROR(IF(N112="Probabilidad",(O111-(O111)*M112),O111),"")))</f>
        <v/>
      </c>
      <c r="P112" s="138" t="str">
        <f t="shared" si="25"/>
        <v/>
      </c>
      <c r="Q112" s="137" t="str">
        <f>IF(A112="","",IF(D112=1,IFERROR(IF(N112="Impacto",(VLOOKUP(A112,'Mapa inherente'!$A$10:$M$38,13,FALSE)-(VLOOKUP(A112,'Mapa inherente'!$A$10:$M$38,13,FALSE)*M112)),IF(N112="Probabilidad",VLOOKUP(A112,'Mapa inherente'!$A$10:$M$38,13,FALSE),"")),""),
                   IFERROR(IF(N112="Impacto",(Q111-(Q111)*M112),Q111),"")))</f>
        <v/>
      </c>
      <c r="R112" s="138" t="str">
        <f t="shared" si="26"/>
        <v/>
      </c>
      <c r="S112" s="138" t="str">
        <f t="shared" si="27"/>
        <v/>
      </c>
      <c r="T112" s="139"/>
    </row>
    <row r="113" spans="1:20" ht="16.5" hidden="1" x14ac:dyDescent="0.25">
      <c r="A113" s="100"/>
      <c r="B113" s="101" t="str">
        <f>IF(A113="","",VLOOKUP(A113,'Mapa inherente'!$A$10:$E$38,5,FALSE))</f>
        <v/>
      </c>
      <c r="C113" s="102" t="str">
        <f>IF(A113="","",VLOOKUP(A113,'Mapa inherente'!$A$10:$N$38,14,FALSE))</f>
        <v/>
      </c>
      <c r="D113" s="133" t="str">
        <f t="shared" si="22"/>
        <v/>
      </c>
      <c r="E113" s="104"/>
      <c r="F113" s="104"/>
      <c r="G113" s="104"/>
      <c r="H113" s="134"/>
      <c r="I113" s="134"/>
      <c r="J113" s="134"/>
      <c r="K113" s="134"/>
      <c r="L113" s="134"/>
      <c r="M113" s="135" t="str">
        <f t="shared" si="23"/>
        <v/>
      </c>
      <c r="N113" s="136" t="str">
        <f t="shared" si="24"/>
        <v/>
      </c>
      <c r="O113" s="137" t="str">
        <f>IF(A113="","",IF(D113=1,IFERROR(IF(N113="Probabilidad",(VLOOKUP(A113,'Mapa inherente'!$A$10:$M$38,9,FALSE)-(VLOOKUP(A113,'Mapa inherente'!$A$10:$M$38,9,FALSE)*M113)),IF(N113="Impacto",VLOOKUP(A113,'Mapa inherente'!$A$10:$M$38,9,FALSE),"")),""),
IFERROR(IF(N113="Probabilidad",(O112-(O112)*M113),O112),"")))</f>
        <v/>
      </c>
      <c r="P113" s="138" t="str">
        <f t="shared" si="25"/>
        <v/>
      </c>
      <c r="Q113" s="137" t="str">
        <f>IF(A113="","",IF(D113=1,IFERROR(IF(N113="Impacto",(VLOOKUP(A113,'Mapa inherente'!$A$10:$M$38,13,FALSE)-(VLOOKUP(A113,'Mapa inherente'!$A$10:$M$38,13,FALSE)*M113)),IF(N113="Probabilidad",VLOOKUP(A113,'Mapa inherente'!$A$10:$M$38,13,FALSE),"")),""),
                   IFERROR(IF(N113="Impacto",(Q112-(Q112)*M113),Q112),"")))</f>
        <v/>
      </c>
      <c r="R113" s="138" t="str">
        <f t="shared" si="26"/>
        <v/>
      </c>
      <c r="S113" s="138" t="str">
        <f t="shared" si="27"/>
        <v/>
      </c>
      <c r="T113" s="139"/>
    </row>
    <row r="114" spans="1:20" ht="16.5" hidden="1" x14ac:dyDescent="0.25">
      <c r="A114" s="100"/>
      <c r="B114" s="101" t="str">
        <f>IF(A114="","",VLOOKUP(A114,'Mapa inherente'!$A$10:$E$38,5,FALSE))</f>
        <v/>
      </c>
      <c r="C114" s="102" t="str">
        <f>IF(A114="","",VLOOKUP(A114,'Mapa inherente'!$A$10:$N$38,14,FALSE))</f>
        <v/>
      </c>
      <c r="D114" s="133" t="str">
        <f t="shared" si="22"/>
        <v/>
      </c>
      <c r="E114" s="104"/>
      <c r="F114" s="104"/>
      <c r="G114" s="104"/>
      <c r="H114" s="134"/>
      <c r="I114" s="134"/>
      <c r="J114" s="134"/>
      <c r="K114" s="134"/>
      <c r="L114" s="134"/>
      <c r="M114" s="135" t="str">
        <f t="shared" si="23"/>
        <v/>
      </c>
      <c r="N114" s="136" t="str">
        <f t="shared" si="24"/>
        <v/>
      </c>
      <c r="O114" s="137" t="str">
        <f>IF(A114="","",IF(D114=1,IFERROR(IF(N114="Probabilidad",(VLOOKUP(A114,'Mapa inherente'!$A$10:$M$38,9,FALSE)-(VLOOKUP(A114,'Mapa inherente'!$A$10:$M$38,9,FALSE)*M114)),IF(N114="Impacto",VLOOKUP(A114,'Mapa inherente'!$A$10:$M$38,9,FALSE),"")),""),
IFERROR(IF(N114="Probabilidad",(O113-(O113)*M114),O113),"")))</f>
        <v/>
      </c>
      <c r="P114" s="138" t="str">
        <f t="shared" si="25"/>
        <v/>
      </c>
      <c r="Q114" s="137" t="str">
        <f>IF(A114="","",IF(D114=1,IFERROR(IF(N114="Impacto",(VLOOKUP(A114,'Mapa inherente'!$A$10:$M$38,13,FALSE)-(VLOOKUP(A114,'Mapa inherente'!$A$10:$M$38,13,FALSE)*M114)),IF(N114="Probabilidad",VLOOKUP(A114,'Mapa inherente'!$A$10:$M$38,13,FALSE),"")),""),
                   IFERROR(IF(N114="Impacto",(Q113-(Q113)*M114),Q113),"")))</f>
        <v/>
      </c>
      <c r="R114" s="138" t="str">
        <f t="shared" si="26"/>
        <v/>
      </c>
      <c r="S114" s="138" t="str">
        <f t="shared" si="27"/>
        <v/>
      </c>
      <c r="T114" s="139"/>
    </row>
    <row r="115" spans="1:20" ht="16.5" hidden="1" x14ac:dyDescent="0.25">
      <c r="A115" s="100"/>
      <c r="B115" s="101" t="str">
        <f>IF(A115="","",VLOOKUP(A115,'Mapa inherente'!$A$10:$E$38,5,FALSE))</f>
        <v/>
      </c>
      <c r="C115" s="102" t="str">
        <f>IF(A115="","",VLOOKUP(A115,'Mapa inherente'!$A$10:$N$38,14,FALSE))</f>
        <v/>
      </c>
      <c r="D115" s="133" t="str">
        <f t="shared" si="22"/>
        <v/>
      </c>
      <c r="E115" s="104"/>
      <c r="F115" s="104"/>
      <c r="G115" s="104"/>
      <c r="H115" s="134"/>
      <c r="I115" s="134"/>
      <c r="J115" s="134"/>
      <c r="K115" s="134"/>
      <c r="L115" s="134"/>
      <c r="M115" s="135" t="str">
        <f t="shared" si="23"/>
        <v/>
      </c>
      <c r="N115" s="136" t="str">
        <f t="shared" si="24"/>
        <v/>
      </c>
      <c r="O115" s="137" t="str">
        <f>IF(A115="","",IF(D115=1,IFERROR(IF(N115="Probabilidad",(VLOOKUP(A115,'Mapa inherente'!$A$10:$M$38,9,FALSE)-(VLOOKUP(A115,'Mapa inherente'!$A$10:$M$38,9,FALSE)*M115)),IF(N115="Impacto",VLOOKUP(A115,'Mapa inherente'!$A$10:$M$38,9,FALSE),"")),""),
IFERROR(IF(N115="Probabilidad",(O114-(O114)*M115),O114),"")))</f>
        <v/>
      </c>
      <c r="P115" s="138" t="str">
        <f t="shared" si="25"/>
        <v/>
      </c>
      <c r="Q115" s="137" t="str">
        <f>IF(A115="","",IF(D115=1,IFERROR(IF(N115="Impacto",(VLOOKUP(A115,'Mapa inherente'!$A$10:$M$38,13,FALSE)-(VLOOKUP(A115,'Mapa inherente'!$A$10:$M$38,13,FALSE)*M115)),IF(N115="Probabilidad",VLOOKUP(A115,'Mapa inherente'!$A$10:$M$38,13,FALSE),"")),""),
                   IFERROR(IF(N115="Impacto",(Q114-(Q114)*M115),Q114),"")))</f>
        <v/>
      </c>
      <c r="R115" s="138" t="str">
        <f t="shared" si="26"/>
        <v/>
      </c>
      <c r="S115" s="138" t="str">
        <f t="shared" si="27"/>
        <v/>
      </c>
      <c r="T115" s="139"/>
    </row>
    <row r="116" spans="1:20" ht="16.5" hidden="1" x14ac:dyDescent="0.25">
      <c r="A116" s="100"/>
      <c r="B116" s="101" t="str">
        <f>IF(A116="","",VLOOKUP(A116,'Mapa inherente'!$A$10:$E$38,5,FALSE))</f>
        <v/>
      </c>
      <c r="C116" s="102" t="str">
        <f>IF(A116="","",VLOOKUP(A116,'Mapa inherente'!$A$10:$N$38,14,FALSE))</f>
        <v/>
      </c>
      <c r="D116" s="133" t="str">
        <f t="shared" si="22"/>
        <v/>
      </c>
      <c r="E116" s="104"/>
      <c r="F116" s="104"/>
      <c r="G116" s="104"/>
      <c r="H116" s="134"/>
      <c r="I116" s="134"/>
      <c r="J116" s="134"/>
      <c r="K116" s="134"/>
      <c r="L116" s="134"/>
      <c r="M116" s="135" t="str">
        <f t="shared" si="23"/>
        <v/>
      </c>
      <c r="N116" s="136" t="str">
        <f t="shared" si="24"/>
        <v/>
      </c>
      <c r="O116" s="137" t="str">
        <f>IF(A116="","",IF(D116=1,IFERROR(IF(N116="Probabilidad",(VLOOKUP(A116,'Mapa inherente'!$A$10:$M$38,9,FALSE)-(VLOOKUP(A116,'Mapa inherente'!$A$10:$M$38,9,FALSE)*M116)),IF(N116="Impacto",VLOOKUP(A116,'Mapa inherente'!$A$10:$M$38,9,FALSE),"")),""),
IFERROR(IF(N116="Probabilidad",(O115-(O115)*M116),O115),"")))</f>
        <v/>
      </c>
      <c r="P116" s="138" t="str">
        <f t="shared" si="25"/>
        <v/>
      </c>
      <c r="Q116" s="137" t="str">
        <f>IF(A116="","",IF(D116=1,IFERROR(IF(N116="Impacto",(VLOOKUP(A116,'Mapa inherente'!$A$10:$M$38,13,FALSE)-(VLOOKUP(A116,'Mapa inherente'!$A$10:$M$38,13,FALSE)*M116)),IF(N116="Probabilidad",VLOOKUP(A116,'Mapa inherente'!$A$10:$M$38,13,FALSE),"")),""),
                   IFERROR(IF(N116="Impacto",(Q115-(Q115)*M116),Q115),"")))</f>
        <v/>
      </c>
      <c r="R116" s="138" t="str">
        <f t="shared" si="26"/>
        <v/>
      </c>
      <c r="S116" s="138" t="str">
        <f t="shared" si="27"/>
        <v/>
      </c>
      <c r="T116" s="139"/>
    </row>
    <row r="117" spans="1:20" ht="16.5" hidden="1" x14ac:dyDescent="0.25">
      <c r="A117" s="100"/>
      <c r="B117" s="101" t="str">
        <f>IF(A117="","",VLOOKUP(A117,'Mapa inherente'!$A$10:$E$38,5,FALSE))</f>
        <v/>
      </c>
      <c r="C117" s="102" t="str">
        <f>IF(A117="","",VLOOKUP(A117,'Mapa inherente'!$A$10:$N$38,14,FALSE))</f>
        <v/>
      </c>
      <c r="D117" s="133" t="str">
        <f t="shared" si="22"/>
        <v/>
      </c>
      <c r="E117" s="104"/>
      <c r="F117" s="104"/>
      <c r="G117" s="104"/>
      <c r="H117" s="134"/>
      <c r="I117" s="134"/>
      <c r="J117" s="134"/>
      <c r="K117" s="134"/>
      <c r="L117" s="134"/>
      <c r="M117" s="135" t="str">
        <f t="shared" si="23"/>
        <v/>
      </c>
      <c r="N117" s="136" t="str">
        <f t="shared" si="24"/>
        <v/>
      </c>
      <c r="O117" s="137" t="str">
        <f>IF(A117="","",IF(D117=1,IFERROR(IF(N117="Probabilidad",(VLOOKUP(A117,'Mapa inherente'!$A$10:$M$38,9,FALSE)-(VLOOKUP(A117,'Mapa inherente'!$A$10:$M$38,9,FALSE)*M117)),IF(N117="Impacto",VLOOKUP(A117,'Mapa inherente'!$A$10:$M$38,9,FALSE),"")),""),
IFERROR(IF(N117="Probabilidad",(O116-(O116)*M117),O116),"")))</f>
        <v/>
      </c>
      <c r="P117" s="138" t="str">
        <f t="shared" si="25"/>
        <v/>
      </c>
      <c r="Q117" s="137" t="str">
        <f>IF(A117="","",IF(D117=1,IFERROR(IF(N117="Impacto",(VLOOKUP(A117,'Mapa inherente'!$A$10:$M$38,13,FALSE)-(VLOOKUP(A117,'Mapa inherente'!$A$10:$M$38,13,FALSE)*M117)),IF(N117="Probabilidad",VLOOKUP(A117,'Mapa inherente'!$A$10:$M$38,13,FALSE),"")),""),
                   IFERROR(IF(N117="Impacto",(Q116-(Q116)*M117),Q116),"")))</f>
        <v/>
      </c>
      <c r="R117" s="138" t="str">
        <f t="shared" si="26"/>
        <v/>
      </c>
      <c r="S117" s="138" t="str">
        <f t="shared" si="27"/>
        <v/>
      </c>
      <c r="T117" s="139"/>
    </row>
    <row r="118" spans="1:20" ht="16.5" hidden="1" x14ac:dyDescent="0.25">
      <c r="A118" s="100"/>
      <c r="B118" s="101" t="str">
        <f>IF(A118="","",VLOOKUP(A118,'Mapa inherente'!$A$10:$E$38,5,FALSE))</f>
        <v/>
      </c>
      <c r="C118" s="102" t="str">
        <f>IF(A118="","",VLOOKUP(A118,'Mapa inherente'!$A$10:$N$38,14,FALSE))</f>
        <v/>
      </c>
      <c r="D118" s="133" t="str">
        <f t="shared" si="22"/>
        <v/>
      </c>
      <c r="E118" s="104"/>
      <c r="F118" s="104"/>
      <c r="G118" s="104"/>
      <c r="H118" s="134"/>
      <c r="I118" s="134"/>
      <c r="J118" s="134"/>
      <c r="K118" s="134"/>
      <c r="L118" s="134"/>
      <c r="M118" s="135" t="str">
        <f t="shared" si="23"/>
        <v/>
      </c>
      <c r="N118" s="136" t="str">
        <f t="shared" si="24"/>
        <v/>
      </c>
      <c r="O118" s="137" t="str">
        <f>IF(A118="","",IF(D118=1,IFERROR(IF(N118="Probabilidad",(VLOOKUP(A118,'Mapa inherente'!$A$10:$M$38,9,FALSE)-(VLOOKUP(A118,'Mapa inherente'!$A$10:$M$38,9,FALSE)*M118)),IF(N118="Impacto",VLOOKUP(A118,'Mapa inherente'!$A$10:$M$38,9,FALSE),"")),""),
IFERROR(IF(N118="Probabilidad",(O117-(O117)*M118),O117),"")))</f>
        <v/>
      </c>
      <c r="P118" s="138" t="str">
        <f t="shared" si="25"/>
        <v/>
      </c>
      <c r="Q118" s="137" t="str">
        <f>IF(A118="","",IF(D118=1,IFERROR(IF(N118="Impacto",(VLOOKUP(A118,'Mapa inherente'!$A$10:$M$38,13,FALSE)-(VLOOKUP(A118,'Mapa inherente'!$A$10:$M$38,13,FALSE)*M118)),IF(N118="Probabilidad",VLOOKUP(A118,'Mapa inherente'!$A$10:$M$38,13,FALSE),"")),""),
                   IFERROR(IF(N118="Impacto",(Q117-(Q117)*M118),Q117),"")))</f>
        <v/>
      </c>
      <c r="R118" s="138" t="str">
        <f t="shared" si="26"/>
        <v/>
      </c>
      <c r="S118" s="138" t="str">
        <f t="shared" si="27"/>
        <v/>
      </c>
      <c r="T118" s="139"/>
    </row>
    <row r="119" spans="1:20" ht="16.5" hidden="1" x14ac:dyDescent="0.25">
      <c r="A119" s="100"/>
      <c r="B119" s="101" t="str">
        <f>IF(A119="","",VLOOKUP(A119,'Mapa inherente'!$A$10:$E$38,5,FALSE))</f>
        <v/>
      </c>
      <c r="C119" s="102" t="str">
        <f>IF(A119="","",VLOOKUP(A119,'Mapa inherente'!$A$10:$N$38,14,FALSE))</f>
        <v/>
      </c>
      <c r="D119" s="133" t="str">
        <f t="shared" si="22"/>
        <v/>
      </c>
      <c r="E119" s="104"/>
      <c r="F119" s="104"/>
      <c r="G119" s="104"/>
      <c r="H119" s="134"/>
      <c r="I119" s="134"/>
      <c r="J119" s="134"/>
      <c r="K119" s="134"/>
      <c r="L119" s="134"/>
      <c r="M119" s="135" t="str">
        <f t="shared" si="23"/>
        <v/>
      </c>
      <c r="N119" s="136" t="str">
        <f t="shared" si="24"/>
        <v/>
      </c>
      <c r="O119" s="137" t="str">
        <f>IF(A119="","",IF(D119=1,IFERROR(IF(N119="Probabilidad",(VLOOKUP(A119,'Mapa inherente'!$A$10:$M$38,9,FALSE)-(VLOOKUP(A119,'Mapa inherente'!$A$10:$M$38,9,FALSE)*M119)),IF(N119="Impacto",VLOOKUP(A119,'Mapa inherente'!$A$10:$M$38,9,FALSE),"")),""),
IFERROR(IF(N119="Probabilidad",(O118-(O118)*M119),O118),"")))</f>
        <v/>
      </c>
      <c r="P119" s="138" t="str">
        <f t="shared" si="25"/>
        <v/>
      </c>
      <c r="Q119" s="137" t="str">
        <f>IF(A119="","",IF(D119=1,IFERROR(IF(N119="Impacto",(VLOOKUP(A119,'Mapa inherente'!$A$10:$M$38,13,FALSE)-(VLOOKUP(A119,'Mapa inherente'!$A$10:$M$38,13,FALSE)*M119)),IF(N119="Probabilidad",VLOOKUP(A119,'Mapa inherente'!$A$10:$M$38,13,FALSE),"")),""),
                   IFERROR(IF(N119="Impacto",(Q118-(Q118)*M119),Q118),"")))</f>
        <v/>
      </c>
      <c r="R119" s="138" t="str">
        <f t="shared" si="26"/>
        <v/>
      </c>
      <c r="S119" s="138" t="str">
        <f t="shared" si="27"/>
        <v/>
      </c>
      <c r="T119" s="139"/>
    </row>
    <row r="120" spans="1:20" ht="16.5" hidden="1" x14ac:dyDescent="0.25">
      <c r="A120" s="100"/>
      <c r="B120" s="101" t="str">
        <f>IF(A120="","",VLOOKUP(A120,'Mapa inherente'!$A$10:$E$38,5,FALSE))</f>
        <v/>
      </c>
      <c r="C120" s="102" t="str">
        <f>IF(A120="","",VLOOKUP(A120,'Mapa inherente'!$A$10:$N$38,14,FALSE))</f>
        <v/>
      </c>
      <c r="D120" s="133" t="str">
        <f t="shared" si="22"/>
        <v/>
      </c>
      <c r="E120" s="104"/>
      <c r="F120" s="104"/>
      <c r="G120" s="104"/>
      <c r="H120" s="134"/>
      <c r="I120" s="134"/>
      <c r="J120" s="134"/>
      <c r="K120" s="134"/>
      <c r="L120" s="134"/>
      <c r="M120" s="135" t="str">
        <f t="shared" si="23"/>
        <v/>
      </c>
      <c r="N120" s="136" t="str">
        <f t="shared" si="24"/>
        <v/>
      </c>
      <c r="O120" s="137" t="str">
        <f>IF(A120="","",IF(D120=1,IFERROR(IF(N120="Probabilidad",(VLOOKUP(A120,'Mapa inherente'!$A$10:$M$38,9,FALSE)-(VLOOKUP(A120,'Mapa inherente'!$A$10:$M$38,9,FALSE)*M120)),IF(N120="Impacto",VLOOKUP(A120,'Mapa inherente'!$A$10:$M$38,9,FALSE),"")),""),
IFERROR(IF(N120="Probabilidad",(O119-(O119)*M120),O119),"")))</f>
        <v/>
      </c>
      <c r="P120" s="138" t="str">
        <f t="shared" si="25"/>
        <v/>
      </c>
      <c r="Q120" s="137" t="str">
        <f>IF(A120="","",IF(D120=1,IFERROR(IF(N120="Impacto",(VLOOKUP(A120,'Mapa inherente'!$A$10:$M$38,13,FALSE)-(VLOOKUP(A120,'Mapa inherente'!$A$10:$M$38,13,FALSE)*M120)),IF(N120="Probabilidad",VLOOKUP(A120,'Mapa inherente'!$A$10:$M$38,13,FALSE),"")),""),
                   IFERROR(IF(N120="Impacto",(Q119-(Q119)*M120),Q119),"")))</f>
        <v/>
      </c>
      <c r="R120" s="138" t="str">
        <f t="shared" si="26"/>
        <v/>
      </c>
      <c r="S120" s="138" t="str">
        <f t="shared" si="27"/>
        <v/>
      </c>
      <c r="T120" s="139"/>
    </row>
    <row r="121" spans="1:20" ht="16.5" hidden="1" x14ac:dyDescent="0.25">
      <c r="A121" s="100"/>
      <c r="B121" s="101" t="str">
        <f>IF(A121="","",VLOOKUP(A121,'Mapa inherente'!$A$10:$E$38,5,FALSE))</f>
        <v/>
      </c>
      <c r="C121" s="102" t="str">
        <f>IF(A121="","",VLOOKUP(A121,'Mapa inherente'!$A$10:$N$38,14,FALSE))</f>
        <v/>
      </c>
      <c r="D121" s="133" t="str">
        <f t="shared" si="22"/>
        <v/>
      </c>
      <c r="E121" s="104"/>
      <c r="F121" s="104"/>
      <c r="G121" s="104"/>
      <c r="H121" s="134"/>
      <c r="I121" s="134"/>
      <c r="J121" s="134"/>
      <c r="K121" s="134"/>
      <c r="L121" s="134"/>
      <c r="M121" s="135" t="str">
        <f t="shared" si="23"/>
        <v/>
      </c>
      <c r="N121" s="136" t="str">
        <f t="shared" si="24"/>
        <v/>
      </c>
      <c r="O121" s="137" t="str">
        <f>IF(A121="","",IF(D121=1,IFERROR(IF(N121="Probabilidad",(VLOOKUP(A121,'Mapa inherente'!$A$10:$M$38,9,FALSE)-(VLOOKUP(A121,'Mapa inherente'!$A$10:$M$38,9,FALSE)*M121)),IF(N121="Impacto",VLOOKUP(A121,'Mapa inherente'!$A$10:$M$38,9,FALSE),"")),""),
IFERROR(IF(N121="Probabilidad",(O120-(O120)*M121),O120),"")))</f>
        <v/>
      </c>
      <c r="P121" s="138" t="str">
        <f t="shared" si="25"/>
        <v/>
      </c>
      <c r="Q121" s="137" t="str">
        <f>IF(A121="","",IF(D121=1,IFERROR(IF(N121="Impacto",(VLOOKUP(A121,'Mapa inherente'!$A$10:$M$38,13,FALSE)-(VLOOKUP(A121,'Mapa inherente'!$A$10:$M$38,13,FALSE)*M121)),IF(N121="Probabilidad",VLOOKUP(A121,'Mapa inherente'!$A$10:$M$38,13,FALSE),"")),""),
                   IFERROR(IF(N121="Impacto",(Q120-(Q120)*M121),Q120),"")))</f>
        <v/>
      </c>
      <c r="R121" s="138" t="str">
        <f t="shared" si="26"/>
        <v/>
      </c>
      <c r="S121" s="138" t="str">
        <f t="shared" si="27"/>
        <v/>
      </c>
      <c r="T121" s="139"/>
    </row>
    <row r="122" spans="1:20" ht="16.5" hidden="1" x14ac:dyDescent="0.25">
      <c r="A122" s="100"/>
      <c r="B122" s="101" t="str">
        <f>IF(A122="","",VLOOKUP(A122,'Mapa inherente'!$A$10:$E$38,5,FALSE))</f>
        <v/>
      </c>
      <c r="C122" s="102" t="str">
        <f>IF(A122="","",VLOOKUP(A122,'Mapa inherente'!$A$10:$N$38,14,FALSE))</f>
        <v/>
      </c>
      <c r="D122" s="133" t="str">
        <f t="shared" si="22"/>
        <v/>
      </c>
      <c r="E122" s="104"/>
      <c r="F122" s="104"/>
      <c r="G122" s="104"/>
      <c r="H122" s="134"/>
      <c r="I122" s="134"/>
      <c r="J122" s="134"/>
      <c r="K122" s="134"/>
      <c r="L122" s="134"/>
      <c r="M122" s="135" t="str">
        <f t="shared" si="23"/>
        <v/>
      </c>
      <c r="N122" s="136" t="str">
        <f t="shared" si="24"/>
        <v/>
      </c>
      <c r="O122" s="137" t="str">
        <f>IF(A122="","",IF(D122=1,IFERROR(IF(N122="Probabilidad",(VLOOKUP(A122,'Mapa inherente'!$A$10:$M$38,9,FALSE)-(VLOOKUP(A122,'Mapa inherente'!$A$10:$M$38,9,FALSE)*M122)),IF(N122="Impacto",VLOOKUP(A122,'Mapa inherente'!$A$10:$M$38,9,FALSE),"")),""),
IFERROR(IF(N122="Probabilidad",(O121-(O121)*M122),O121),"")))</f>
        <v/>
      </c>
      <c r="P122" s="138" t="str">
        <f t="shared" si="25"/>
        <v/>
      </c>
      <c r="Q122" s="137" t="str">
        <f>IF(A122="","",IF(D122=1,IFERROR(IF(N122="Impacto",(VLOOKUP(A122,'Mapa inherente'!$A$10:$M$38,13,FALSE)-(VLOOKUP(A122,'Mapa inherente'!$A$10:$M$38,13,FALSE)*M122)),IF(N122="Probabilidad",VLOOKUP(A122,'Mapa inherente'!$A$10:$M$38,13,FALSE),"")),""),
                   IFERROR(IF(N122="Impacto",(Q121-(Q121)*M122),Q121),"")))</f>
        <v/>
      </c>
      <c r="R122" s="138" t="str">
        <f t="shared" si="26"/>
        <v/>
      </c>
      <c r="S122" s="138" t="str">
        <f t="shared" si="27"/>
        <v/>
      </c>
      <c r="T122" s="139"/>
    </row>
    <row r="123" spans="1:20" ht="16.5" hidden="1" x14ac:dyDescent="0.25">
      <c r="A123" s="100"/>
      <c r="B123" s="101" t="str">
        <f>IF(A123="","",VLOOKUP(A123,'Mapa inherente'!$A$10:$E$38,5,FALSE))</f>
        <v/>
      </c>
      <c r="C123" s="102" t="str">
        <f>IF(A123="","",VLOOKUP(A123,'Mapa inherente'!$A$10:$N$38,14,FALSE))</f>
        <v/>
      </c>
      <c r="D123" s="133" t="str">
        <f t="shared" si="22"/>
        <v/>
      </c>
      <c r="E123" s="104"/>
      <c r="F123" s="104"/>
      <c r="G123" s="104"/>
      <c r="H123" s="134"/>
      <c r="I123" s="134"/>
      <c r="J123" s="134"/>
      <c r="K123" s="134"/>
      <c r="L123" s="134"/>
      <c r="M123" s="135" t="str">
        <f t="shared" si="23"/>
        <v/>
      </c>
      <c r="N123" s="136" t="str">
        <f t="shared" si="24"/>
        <v/>
      </c>
      <c r="O123" s="137" t="str">
        <f>IF(A123="","",IF(D123=1,IFERROR(IF(N123="Probabilidad",(VLOOKUP(A123,'Mapa inherente'!$A$10:$M$38,9,FALSE)-(VLOOKUP(A123,'Mapa inherente'!$A$10:$M$38,9,FALSE)*M123)),IF(N123="Impacto",VLOOKUP(A123,'Mapa inherente'!$A$10:$M$38,9,FALSE),"")),""),
IFERROR(IF(N123="Probabilidad",(O122-(O122)*M123),O122),"")))</f>
        <v/>
      </c>
      <c r="P123" s="138" t="str">
        <f t="shared" si="25"/>
        <v/>
      </c>
      <c r="Q123" s="137" t="str">
        <f>IF(A123="","",IF(D123=1,IFERROR(IF(N123="Impacto",(VLOOKUP(A123,'Mapa inherente'!$A$10:$M$38,13,FALSE)-(VLOOKUP(A123,'Mapa inherente'!$A$10:$M$38,13,FALSE)*M123)),IF(N123="Probabilidad",VLOOKUP(A123,'Mapa inherente'!$A$10:$M$38,13,FALSE),"")),""),
                   IFERROR(IF(N123="Impacto",(Q122-(Q122)*M123),Q122),"")))</f>
        <v/>
      </c>
      <c r="R123" s="138" t="str">
        <f t="shared" si="26"/>
        <v/>
      </c>
      <c r="S123" s="138" t="str">
        <f t="shared" si="27"/>
        <v/>
      </c>
      <c r="T123" s="139"/>
    </row>
    <row r="124" spans="1:20" ht="16.5" hidden="1" x14ac:dyDescent="0.25">
      <c r="A124" s="100"/>
      <c r="B124" s="101" t="str">
        <f>IF(A124="","",VLOOKUP(A124,'Mapa inherente'!$A$10:$E$38,5,FALSE))</f>
        <v/>
      </c>
      <c r="C124" s="102" t="str">
        <f>IF(A124="","",VLOOKUP(A124,'Mapa inherente'!$A$10:$N$38,14,FALSE))</f>
        <v/>
      </c>
      <c r="D124" s="133" t="str">
        <f t="shared" si="22"/>
        <v/>
      </c>
      <c r="E124" s="104"/>
      <c r="F124" s="104"/>
      <c r="G124" s="104"/>
      <c r="H124" s="134"/>
      <c r="I124" s="134"/>
      <c r="J124" s="134"/>
      <c r="K124" s="134"/>
      <c r="L124" s="134"/>
      <c r="M124" s="135" t="str">
        <f t="shared" si="23"/>
        <v/>
      </c>
      <c r="N124" s="136" t="str">
        <f t="shared" si="24"/>
        <v/>
      </c>
      <c r="O124" s="137" t="str">
        <f>IF(A124="","",IF(D124=1,IFERROR(IF(N124="Probabilidad",(VLOOKUP(A124,'Mapa inherente'!$A$10:$M$38,9,FALSE)-(VLOOKUP(A124,'Mapa inherente'!$A$10:$M$38,9,FALSE)*M124)),IF(N124="Impacto",VLOOKUP(A124,'Mapa inherente'!$A$10:$M$38,9,FALSE),"")),""),
IFERROR(IF(N124="Probabilidad",(O123-(O123)*M124),O123),"")))</f>
        <v/>
      </c>
      <c r="P124" s="138" t="str">
        <f t="shared" si="25"/>
        <v/>
      </c>
      <c r="Q124" s="137" t="str">
        <f>IF(A124="","",IF(D124=1,IFERROR(IF(N124="Impacto",(VLOOKUP(A124,'Mapa inherente'!$A$10:$M$38,13,FALSE)-(VLOOKUP(A124,'Mapa inherente'!$A$10:$M$38,13,FALSE)*M124)),IF(N124="Probabilidad",VLOOKUP(A124,'Mapa inherente'!$A$10:$M$38,13,FALSE),"")),""),
                   IFERROR(IF(N124="Impacto",(Q123-(Q123)*M124),Q123),"")))</f>
        <v/>
      </c>
      <c r="R124" s="138" t="str">
        <f t="shared" si="26"/>
        <v/>
      </c>
      <c r="S124" s="138" t="str">
        <f t="shared" si="27"/>
        <v/>
      </c>
      <c r="T124" s="139"/>
    </row>
    <row r="125" spans="1:20" ht="16.5" hidden="1" x14ac:dyDescent="0.25">
      <c r="A125" s="100"/>
      <c r="B125" s="101" t="str">
        <f>IF(A125="","",VLOOKUP(A125,'Mapa inherente'!$A$10:$E$38,5,FALSE))</f>
        <v/>
      </c>
      <c r="C125" s="102" t="str">
        <f>IF(A125="","",VLOOKUP(A125,'Mapa inherente'!$A$10:$N$38,14,FALSE))</f>
        <v/>
      </c>
      <c r="D125" s="133" t="str">
        <f t="shared" si="22"/>
        <v/>
      </c>
      <c r="E125" s="104"/>
      <c r="F125" s="104"/>
      <c r="G125" s="104"/>
      <c r="H125" s="134"/>
      <c r="I125" s="134"/>
      <c r="J125" s="134"/>
      <c r="K125" s="134"/>
      <c r="L125" s="134"/>
      <c r="M125" s="135" t="str">
        <f t="shared" si="23"/>
        <v/>
      </c>
      <c r="N125" s="136" t="str">
        <f t="shared" si="24"/>
        <v/>
      </c>
      <c r="O125" s="137" t="str">
        <f>IF(A125="","",IF(D125=1,IFERROR(IF(N125="Probabilidad",(VLOOKUP(A125,'Mapa inherente'!$A$10:$M$38,9,FALSE)-(VLOOKUP(A125,'Mapa inherente'!$A$10:$M$38,9,FALSE)*M125)),IF(N125="Impacto",VLOOKUP(A125,'Mapa inherente'!$A$10:$M$38,9,FALSE),"")),""),
IFERROR(IF(N125="Probabilidad",(O124-(O124)*M125),O124),"")))</f>
        <v/>
      </c>
      <c r="P125" s="138" t="str">
        <f t="shared" si="25"/>
        <v/>
      </c>
      <c r="Q125" s="137" t="str">
        <f>IF(A125="","",IF(D125=1,IFERROR(IF(N125="Impacto",(VLOOKUP(A125,'Mapa inherente'!$A$10:$M$38,13,FALSE)-(VLOOKUP(A125,'Mapa inherente'!$A$10:$M$38,13,FALSE)*M125)),IF(N125="Probabilidad",VLOOKUP(A125,'Mapa inherente'!$A$10:$M$38,13,FALSE),"")),""),
                   IFERROR(IF(N125="Impacto",(Q124-(Q124)*M125),Q124),"")))</f>
        <v/>
      </c>
      <c r="R125" s="138" t="str">
        <f t="shared" si="26"/>
        <v/>
      </c>
      <c r="S125" s="138" t="str">
        <f t="shared" si="27"/>
        <v/>
      </c>
      <c r="T125" s="139"/>
    </row>
    <row r="126" spans="1:20" ht="16.5" hidden="1" x14ac:dyDescent="0.25">
      <c r="A126" s="100"/>
      <c r="B126" s="101" t="str">
        <f>IF(A126="","",VLOOKUP(A126,'Mapa inherente'!$A$10:$E$38,5,FALSE))</f>
        <v/>
      </c>
      <c r="C126" s="102" t="str">
        <f>IF(A126="","",VLOOKUP(A126,'Mapa inherente'!$A$10:$N$38,14,FALSE))</f>
        <v/>
      </c>
      <c r="D126" s="133" t="str">
        <f t="shared" si="22"/>
        <v/>
      </c>
      <c r="E126" s="104"/>
      <c r="F126" s="104"/>
      <c r="G126" s="104"/>
      <c r="H126" s="134"/>
      <c r="I126" s="134"/>
      <c r="J126" s="134"/>
      <c r="K126" s="134"/>
      <c r="L126" s="134"/>
      <c r="M126" s="135" t="str">
        <f t="shared" si="23"/>
        <v/>
      </c>
      <c r="N126" s="136" t="str">
        <f t="shared" si="24"/>
        <v/>
      </c>
      <c r="O126" s="137" t="str">
        <f>IF(A126="","",IF(D126=1,IFERROR(IF(N126="Probabilidad",(VLOOKUP(A126,'Mapa inherente'!$A$10:$M$38,9,FALSE)-(VLOOKUP(A126,'Mapa inherente'!$A$10:$M$38,9,FALSE)*M126)),IF(N126="Impacto",VLOOKUP(A126,'Mapa inherente'!$A$10:$M$38,9,FALSE),"")),""),
IFERROR(IF(N126="Probabilidad",(O125-(O125)*M126),O125),"")))</f>
        <v/>
      </c>
      <c r="P126" s="138" t="str">
        <f t="shared" si="25"/>
        <v/>
      </c>
      <c r="Q126" s="137" t="str">
        <f>IF(A126="","",IF(D126=1,IFERROR(IF(N126="Impacto",(VLOOKUP(A126,'Mapa inherente'!$A$10:$M$38,13,FALSE)-(VLOOKUP(A126,'Mapa inherente'!$A$10:$M$38,13,FALSE)*M126)),IF(N126="Probabilidad",VLOOKUP(A126,'Mapa inherente'!$A$10:$M$38,13,FALSE),"")),""),
                   IFERROR(IF(N126="Impacto",(Q125-(Q125)*M126),Q125),"")))</f>
        <v/>
      </c>
      <c r="R126" s="138" t="str">
        <f t="shared" si="26"/>
        <v/>
      </c>
      <c r="S126" s="138" t="str">
        <f t="shared" si="27"/>
        <v/>
      </c>
      <c r="T126" s="139"/>
    </row>
    <row r="127" spans="1:20" ht="16.5" hidden="1" x14ac:dyDescent="0.25">
      <c r="A127" s="100"/>
      <c r="B127" s="101" t="str">
        <f>IF(A127="","",VLOOKUP(A127,'Mapa inherente'!$A$10:$E$38,5,FALSE))</f>
        <v/>
      </c>
      <c r="C127" s="102" t="str">
        <f>IF(A127="","",VLOOKUP(A127,'Mapa inherente'!$A$10:$N$38,14,FALSE))</f>
        <v/>
      </c>
      <c r="D127" s="133" t="str">
        <f t="shared" si="22"/>
        <v/>
      </c>
      <c r="E127" s="104"/>
      <c r="F127" s="104"/>
      <c r="G127" s="104"/>
      <c r="H127" s="134"/>
      <c r="I127" s="134"/>
      <c r="J127" s="134"/>
      <c r="K127" s="134"/>
      <c r="L127" s="134"/>
      <c r="M127" s="135" t="str">
        <f t="shared" si="23"/>
        <v/>
      </c>
      <c r="N127" s="136" t="str">
        <f t="shared" si="24"/>
        <v/>
      </c>
      <c r="O127" s="137" t="str">
        <f>IF(A127="","",IF(D127=1,IFERROR(IF(N127="Probabilidad",(VLOOKUP(A127,'Mapa inherente'!$A$10:$M$38,9,FALSE)-(VLOOKUP(A127,'Mapa inherente'!$A$10:$M$38,9,FALSE)*M127)),IF(N127="Impacto",VLOOKUP(A127,'Mapa inherente'!$A$10:$M$38,9,FALSE),"")),""),
IFERROR(IF(N127="Probabilidad",(O126-(O126)*M127),O126),"")))</f>
        <v/>
      </c>
      <c r="P127" s="138" t="str">
        <f t="shared" si="25"/>
        <v/>
      </c>
      <c r="Q127" s="137" t="str">
        <f>IF(A127="","",IF(D127=1,IFERROR(IF(N127="Impacto",(VLOOKUP(A127,'Mapa inherente'!$A$10:$M$38,13,FALSE)-(VLOOKUP(A127,'Mapa inherente'!$A$10:$M$38,13,FALSE)*M127)),IF(N127="Probabilidad",VLOOKUP(A127,'Mapa inherente'!$A$10:$M$38,13,FALSE),"")),""),
                   IFERROR(IF(N127="Impacto",(Q126-(Q126)*M127),Q126),"")))</f>
        <v/>
      </c>
      <c r="R127" s="138" t="str">
        <f t="shared" si="26"/>
        <v/>
      </c>
      <c r="S127" s="138" t="str">
        <f t="shared" si="27"/>
        <v/>
      </c>
      <c r="T127" s="139"/>
    </row>
    <row r="128" spans="1:20" ht="16.5" hidden="1" x14ac:dyDescent="0.25">
      <c r="A128" s="100"/>
      <c r="B128" s="101" t="str">
        <f>IF(A128="","",VLOOKUP(A128,'Mapa inherente'!$A$10:$E$38,5,FALSE))</f>
        <v/>
      </c>
      <c r="C128" s="102" t="str">
        <f>IF(A128="","",VLOOKUP(A128,'Mapa inherente'!$A$10:$N$38,14,FALSE))</f>
        <v/>
      </c>
      <c r="D128" s="133" t="str">
        <f t="shared" si="22"/>
        <v/>
      </c>
      <c r="E128" s="104"/>
      <c r="F128" s="104"/>
      <c r="G128" s="104"/>
      <c r="H128" s="134"/>
      <c r="I128" s="134"/>
      <c r="J128" s="134"/>
      <c r="K128" s="134"/>
      <c r="L128" s="134"/>
      <c r="M128" s="135" t="str">
        <f t="shared" si="23"/>
        <v/>
      </c>
      <c r="N128" s="136" t="str">
        <f t="shared" si="24"/>
        <v/>
      </c>
      <c r="O128" s="137" t="str">
        <f>IF(A128="","",IF(D128=1,IFERROR(IF(N128="Probabilidad",(VLOOKUP(A128,'Mapa inherente'!$A$10:$M$38,9,FALSE)-(VLOOKUP(A128,'Mapa inherente'!$A$10:$M$38,9,FALSE)*M128)),IF(N128="Impacto",VLOOKUP(A128,'Mapa inherente'!$A$10:$M$38,9,FALSE),"")),""),
IFERROR(IF(N128="Probabilidad",(O127-(O127)*M128),O127),"")))</f>
        <v/>
      </c>
      <c r="P128" s="138" t="str">
        <f t="shared" si="25"/>
        <v/>
      </c>
      <c r="Q128" s="137" t="str">
        <f>IF(A128="","",IF(D128=1,IFERROR(IF(N128="Impacto",(VLOOKUP(A128,'Mapa inherente'!$A$10:$M$38,13,FALSE)-(VLOOKUP(A128,'Mapa inherente'!$A$10:$M$38,13,FALSE)*M128)),IF(N128="Probabilidad",VLOOKUP(A128,'Mapa inherente'!$A$10:$M$38,13,FALSE),"")),""),
                   IFERROR(IF(N128="Impacto",(Q127-(Q127)*M128),Q127),"")))</f>
        <v/>
      </c>
      <c r="R128" s="138" t="str">
        <f t="shared" si="26"/>
        <v/>
      </c>
      <c r="S128" s="138" t="str">
        <f t="shared" si="27"/>
        <v/>
      </c>
      <c r="T128" s="139"/>
    </row>
    <row r="129" spans="1:20" ht="16.5" hidden="1" x14ac:dyDescent="0.25">
      <c r="A129" s="100"/>
      <c r="B129" s="101" t="str">
        <f>IF(A129="","",VLOOKUP(A129,'Mapa inherente'!$A$10:$E$38,5,FALSE))</f>
        <v/>
      </c>
      <c r="C129" s="102" t="str">
        <f>IF(A129="","",VLOOKUP(A129,'Mapa inherente'!$A$10:$N$38,14,FALSE))</f>
        <v/>
      </c>
      <c r="D129" s="133" t="str">
        <f t="shared" si="22"/>
        <v/>
      </c>
      <c r="E129" s="104"/>
      <c r="F129" s="104"/>
      <c r="G129" s="104"/>
      <c r="H129" s="134"/>
      <c r="I129" s="134"/>
      <c r="J129" s="134"/>
      <c r="K129" s="134"/>
      <c r="L129" s="134"/>
      <c r="M129" s="135" t="str">
        <f t="shared" si="23"/>
        <v/>
      </c>
      <c r="N129" s="136" t="str">
        <f t="shared" si="24"/>
        <v/>
      </c>
      <c r="O129" s="137" t="str">
        <f>IF(A129="","",IF(D129=1,IFERROR(IF(N129="Probabilidad",(VLOOKUP(A129,'Mapa inherente'!$A$10:$M$38,9,FALSE)-(VLOOKUP(A129,'Mapa inherente'!$A$10:$M$38,9,FALSE)*M129)),IF(N129="Impacto",VLOOKUP(A129,'Mapa inherente'!$A$10:$M$38,9,FALSE),"")),""),
IFERROR(IF(N129="Probabilidad",(O128-(O128)*M129),O128),"")))</f>
        <v/>
      </c>
      <c r="P129" s="138" t="str">
        <f t="shared" si="25"/>
        <v/>
      </c>
      <c r="Q129" s="137" t="str">
        <f>IF(A129="","",IF(D129=1,IFERROR(IF(N129="Impacto",(VLOOKUP(A129,'Mapa inherente'!$A$10:$M$38,13,FALSE)-(VLOOKUP(A129,'Mapa inherente'!$A$10:$M$38,13,FALSE)*M129)),IF(N129="Probabilidad",VLOOKUP(A129,'Mapa inherente'!$A$10:$M$38,13,FALSE),"")),""),
                   IFERROR(IF(N129="Impacto",(Q128-(Q128)*M129),Q128),"")))</f>
        <v/>
      </c>
      <c r="R129" s="138" t="str">
        <f t="shared" si="26"/>
        <v/>
      </c>
      <c r="S129" s="138" t="str">
        <f t="shared" si="27"/>
        <v/>
      </c>
      <c r="T129" s="139"/>
    </row>
    <row r="130" spans="1:20" ht="16.5" hidden="1" x14ac:dyDescent="0.25">
      <c r="A130" s="100"/>
      <c r="B130" s="101" t="str">
        <f>IF(A130="","",VLOOKUP(A130,'Mapa inherente'!$A$10:$E$38,5,FALSE))</f>
        <v/>
      </c>
      <c r="C130" s="102" t="str">
        <f>IF(A130="","",VLOOKUP(A130,'Mapa inherente'!$A$10:$N$38,14,FALSE))</f>
        <v/>
      </c>
      <c r="D130" s="133" t="str">
        <f t="shared" si="22"/>
        <v/>
      </c>
      <c r="E130" s="104"/>
      <c r="F130" s="104"/>
      <c r="G130" s="104"/>
      <c r="H130" s="134"/>
      <c r="I130" s="134"/>
      <c r="J130" s="134"/>
      <c r="K130" s="134"/>
      <c r="L130" s="134"/>
      <c r="M130" s="135" t="str">
        <f t="shared" si="23"/>
        <v/>
      </c>
      <c r="N130" s="136" t="str">
        <f t="shared" si="24"/>
        <v/>
      </c>
      <c r="O130" s="137" t="str">
        <f>IF(A130="","",IF(D130=1,IFERROR(IF(N130="Probabilidad",(VLOOKUP(A130,'Mapa inherente'!$A$10:$M$38,9,FALSE)-(VLOOKUP(A130,'Mapa inherente'!$A$10:$M$38,9,FALSE)*M130)),IF(N130="Impacto",VLOOKUP(A130,'Mapa inherente'!$A$10:$M$38,9,FALSE),"")),""),
IFERROR(IF(N130="Probabilidad",(O129-(O129)*M130),O129),"")))</f>
        <v/>
      </c>
      <c r="P130" s="138" t="str">
        <f t="shared" si="25"/>
        <v/>
      </c>
      <c r="Q130" s="137" t="str">
        <f>IF(A130="","",IF(D130=1,IFERROR(IF(N130="Impacto",(VLOOKUP(A130,'Mapa inherente'!$A$10:$M$38,13,FALSE)-(VLOOKUP(A130,'Mapa inherente'!$A$10:$M$38,13,FALSE)*M130)),IF(N130="Probabilidad",VLOOKUP(A130,'Mapa inherente'!$A$10:$M$38,13,FALSE),"")),""),
                   IFERROR(IF(N130="Impacto",(Q129-(Q129)*M130),Q129),"")))</f>
        <v/>
      </c>
      <c r="R130" s="138" t="str">
        <f t="shared" si="26"/>
        <v/>
      </c>
      <c r="S130" s="138" t="str">
        <f t="shared" si="27"/>
        <v/>
      </c>
      <c r="T130" s="139"/>
    </row>
    <row r="131" spans="1:20" ht="16.5" hidden="1" x14ac:dyDescent="0.25">
      <c r="A131" s="100"/>
      <c r="B131" s="101" t="str">
        <f>IF(A131="","",VLOOKUP(A131,'Mapa inherente'!$A$10:$E$38,5,FALSE))</f>
        <v/>
      </c>
      <c r="C131" s="102" t="str">
        <f>IF(A131="","",VLOOKUP(A131,'Mapa inherente'!$A$10:$N$38,14,FALSE))</f>
        <v/>
      </c>
      <c r="D131" s="133" t="str">
        <f t="shared" si="22"/>
        <v/>
      </c>
      <c r="E131" s="104"/>
      <c r="F131" s="104"/>
      <c r="G131" s="104"/>
      <c r="H131" s="134"/>
      <c r="I131" s="134"/>
      <c r="J131" s="134"/>
      <c r="K131" s="134"/>
      <c r="L131" s="134"/>
      <c r="M131" s="135" t="str">
        <f t="shared" si="23"/>
        <v/>
      </c>
      <c r="N131" s="136" t="str">
        <f t="shared" si="24"/>
        <v/>
      </c>
      <c r="O131" s="137" t="str">
        <f>IF(A131="","",IF(D131=1,IFERROR(IF(N131="Probabilidad",(VLOOKUP(A131,'Mapa inherente'!$A$10:$M$38,9,FALSE)-(VLOOKUP(A131,'Mapa inherente'!$A$10:$M$38,9,FALSE)*M131)),IF(N131="Impacto",VLOOKUP(A131,'Mapa inherente'!$A$10:$M$38,9,FALSE),"")),""),
IFERROR(IF(N131="Probabilidad",(O130-(O130)*M131),O130),"")))</f>
        <v/>
      </c>
      <c r="P131" s="138" t="str">
        <f t="shared" si="25"/>
        <v/>
      </c>
      <c r="Q131" s="137" t="str">
        <f>IF(A131="","",IF(D131=1,IFERROR(IF(N131="Impacto",(VLOOKUP(A131,'Mapa inherente'!$A$10:$M$38,13,FALSE)-(VLOOKUP(A131,'Mapa inherente'!$A$10:$M$38,13,FALSE)*M131)),IF(N131="Probabilidad",VLOOKUP(A131,'Mapa inherente'!$A$10:$M$38,13,FALSE),"")),""),
                   IFERROR(IF(N131="Impacto",(Q130-(Q130)*M131),Q130),"")))</f>
        <v/>
      </c>
      <c r="R131" s="138" t="str">
        <f t="shared" si="26"/>
        <v/>
      </c>
      <c r="S131" s="138" t="str">
        <f t="shared" si="27"/>
        <v/>
      </c>
      <c r="T131" s="139"/>
    </row>
    <row r="132" spans="1:20" ht="16.5" hidden="1" x14ac:dyDescent="0.25">
      <c r="A132" s="100"/>
      <c r="B132" s="101" t="str">
        <f>IF(A132="","",VLOOKUP(A132,'Mapa inherente'!$A$10:$E$38,5,FALSE))</f>
        <v/>
      </c>
      <c r="C132" s="102" t="str">
        <f>IF(A132="","",VLOOKUP(A132,'Mapa inherente'!$A$10:$N$38,14,FALSE))</f>
        <v/>
      </c>
      <c r="D132" s="133" t="str">
        <f t="shared" si="22"/>
        <v/>
      </c>
      <c r="E132" s="104"/>
      <c r="F132" s="104"/>
      <c r="G132" s="104"/>
      <c r="H132" s="134"/>
      <c r="I132" s="134"/>
      <c r="J132" s="134"/>
      <c r="K132" s="134"/>
      <c r="L132" s="134"/>
      <c r="M132" s="135" t="str">
        <f t="shared" si="23"/>
        <v/>
      </c>
      <c r="N132" s="136" t="str">
        <f t="shared" si="24"/>
        <v/>
      </c>
      <c r="O132" s="137" t="str">
        <f>IF(A132="","",IF(D132=1,IFERROR(IF(N132="Probabilidad",(VLOOKUP(A132,'Mapa inherente'!$A$10:$M$38,9,FALSE)-(VLOOKUP(A132,'Mapa inherente'!$A$10:$M$38,9,FALSE)*M132)),IF(N132="Impacto",VLOOKUP(A132,'Mapa inherente'!$A$10:$M$38,9,FALSE),"")),""),
IFERROR(IF(N132="Probabilidad",(O131-(O131)*M132),O131),"")))</f>
        <v/>
      </c>
      <c r="P132" s="138" t="str">
        <f t="shared" si="25"/>
        <v/>
      </c>
      <c r="Q132" s="137" t="str">
        <f>IF(A132="","",IF(D132=1,IFERROR(IF(N132="Impacto",(VLOOKUP(A132,'Mapa inherente'!$A$10:$M$38,13,FALSE)-(VLOOKUP(A132,'Mapa inherente'!$A$10:$M$38,13,FALSE)*M132)),IF(N132="Probabilidad",VLOOKUP(A132,'Mapa inherente'!$A$10:$M$38,13,FALSE),"")),""),
                   IFERROR(IF(N132="Impacto",(Q131-(Q131)*M132),Q131),"")))</f>
        <v/>
      </c>
      <c r="R132" s="138" t="str">
        <f t="shared" si="26"/>
        <v/>
      </c>
      <c r="S132" s="138" t="str">
        <f t="shared" si="27"/>
        <v/>
      </c>
      <c r="T132" s="139"/>
    </row>
    <row r="133" spans="1:20" ht="16.5" hidden="1" x14ac:dyDescent="0.25">
      <c r="A133" s="100"/>
      <c r="B133" s="101" t="str">
        <f>IF(A133="","",VLOOKUP(A133,'Mapa inherente'!$A$10:$E$38,5,FALSE))</f>
        <v/>
      </c>
      <c r="C133" s="102" t="str">
        <f>IF(A133="","",VLOOKUP(A133,'Mapa inherente'!$A$10:$N$38,14,FALSE))</f>
        <v/>
      </c>
      <c r="D133" s="133" t="str">
        <f t="shared" si="22"/>
        <v/>
      </c>
      <c r="E133" s="104"/>
      <c r="F133" s="104"/>
      <c r="G133" s="104"/>
      <c r="H133" s="134"/>
      <c r="I133" s="134"/>
      <c r="J133" s="134"/>
      <c r="K133" s="134"/>
      <c r="L133" s="134"/>
      <c r="M133" s="135" t="str">
        <f t="shared" si="23"/>
        <v/>
      </c>
      <c r="N133" s="136" t="str">
        <f t="shared" si="24"/>
        <v/>
      </c>
      <c r="O133" s="137" t="str">
        <f>IF(A133="","",IF(D133=1,IFERROR(IF(N133="Probabilidad",(VLOOKUP(A133,'Mapa inherente'!$A$10:$M$38,9,FALSE)-(VLOOKUP(A133,'Mapa inherente'!$A$10:$M$38,9,FALSE)*M133)),IF(N133="Impacto",VLOOKUP(A133,'Mapa inherente'!$A$10:$M$38,9,FALSE),"")),""),
IFERROR(IF(N133="Probabilidad",(O132-(O132)*M133),O132),"")))</f>
        <v/>
      </c>
      <c r="P133" s="138" t="str">
        <f t="shared" si="25"/>
        <v/>
      </c>
      <c r="Q133" s="137" t="str">
        <f>IF(A133="","",IF(D133=1,IFERROR(IF(N133="Impacto",(VLOOKUP(A133,'Mapa inherente'!$A$10:$M$38,13,FALSE)-(VLOOKUP(A133,'Mapa inherente'!$A$10:$M$38,13,FALSE)*M133)),IF(N133="Probabilidad",VLOOKUP(A133,'Mapa inherente'!$A$10:$M$38,13,FALSE),"")),""),
                   IFERROR(IF(N133="Impacto",(Q132-(Q132)*M133),Q132),"")))</f>
        <v/>
      </c>
      <c r="R133" s="138" t="str">
        <f t="shared" si="26"/>
        <v/>
      </c>
      <c r="S133" s="138" t="str">
        <f t="shared" si="27"/>
        <v/>
      </c>
      <c r="T133" s="139"/>
    </row>
    <row r="134" spans="1:20" ht="16.5" hidden="1" x14ac:dyDescent="0.25">
      <c r="A134" s="100"/>
      <c r="B134" s="101" t="str">
        <f>IF(A134="","",VLOOKUP(A134,'Mapa inherente'!$A$10:$E$38,5,FALSE))</f>
        <v/>
      </c>
      <c r="C134" s="102" t="str">
        <f>IF(A134="","",VLOOKUP(A134,'Mapa inherente'!$A$10:$N$38,14,FALSE))</f>
        <v/>
      </c>
      <c r="D134" s="133" t="str">
        <f t="shared" si="22"/>
        <v/>
      </c>
      <c r="E134" s="104"/>
      <c r="F134" s="104"/>
      <c r="G134" s="104"/>
      <c r="H134" s="134"/>
      <c r="I134" s="134"/>
      <c r="J134" s="134"/>
      <c r="K134" s="134"/>
      <c r="L134" s="134"/>
      <c r="M134" s="135" t="str">
        <f t="shared" si="23"/>
        <v/>
      </c>
      <c r="N134" s="136" t="str">
        <f t="shared" si="24"/>
        <v/>
      </c>
      <c r="O134" s="137" t="str">
        <f>IF(A134="","",IF(D134=1,IFERROR(IF(N134="Probabilidad",(VLOOKUP(A134,'Mapa inherente'!$A$10:$M$38,9,FALSE)-(VLOOKUP(A134,'Mapa inherente'!$A$10:$M$38,9,FALSE)*M134)),IF(N134="Impacto",VLOOKUP(A134,'Mapa inherente'!$A$10:$M$38,9,FALSE),"")),""),
IFERROR(IF(N134="Probabilidad",(O133-(O133)*M134),O133),"")))</f>
        <v/>
      </c>
      <c r="P134" s="138" t="str">
        <f t="shared" si="25"/>
        <v/>
      </c>
      <c r="Q134" s="137" t="str">
        <f>IF(A134="","",IF(D134=1,IFERROR(IF(N134="Impacto",(VLOOKUP(A134,'Mapa inherente'!$A$10:$M$38,13,FALSE)-(VLOOKUP(A134,'Mapa inherente'!$A$10:$M$38,13,FALSE)*M134)),IF(N134="Probabilidad",VLOOKUP(A134,'Mapa inherente'!$A$10:$M$38,13,FALSE),"")),""),
                   IFERROR(IF(N134="Impacto",(Q133-(Q133)*M134),Q133),"")))</f>
        <v/>
      </c>
      <c r="R134" s="138" t="str">
        <f t="shared" si="26"/>
        <v/>
      </c>
      <c r="S134" s="138" t="str">
        <f t="shared" si="27"/>
        <v/>
      </c>
      <c r="T134" s="139"/>
    </row>
    <row r="135" spans="1:20" ht="16.5" hidden="1" x14ac:dyDescent="0.25">
      <c r="A135" s="100"/>
      <c r="B135" s="101" t="str">
        <f>IF(A135="","",VLOOKUP(A135,'Mapa inherente'!$A$10:$E$38,5,FALSE))</f>
        <v/>
      </c>
      <c r="C135" s="102" t="str">
        <f>IF(A135="","",VLOOKUP(A135,'Mapa inherente'!$A$10:$N$38,14,FALSE))</f>
        <v/>
      </c>
      <c r="D135" s="133" t="str">
        <f t="shared" si="22"/>
        <v/>
      </c>
      <c r="E135" s="104"/>
      <c r="F135" s="104"/>
      <c r="G135" s="104"/>
      <c r="H135" s="134"/>
      <c r="I135" s="134"/>
      <c r="J135" s="134"/>
      <c r="K135" s="134"/>
      <c r="L135" s="134"/>
      <c r="M135" s="135" t="str">
        <f t="shared" si="23"/>
        <v/>
      </c>
      <c r="N135" s="136" t="str">
        <f t="shared" si="24"/>
        <v/>
      </c>
      <c r="O135" s="137" t="str">
        <f>IF(A135="","",IF(D135=1,IFERROR(IF(N135="Probabilidad",(VLOOKUP(A135,'Mapa inherente'!$A$10:$M$38,9,FALSE)-(VLOOKUP(A135,'Mapa inherente'!$A$10:$M$38,9,FALSE)*M135)),IF(N135="Impacto",VLOOKUP(A135,'Mapa inherente'!$A$10:$M$38,9,FALSE),"")),""),
IFERROR(IF(N135="Probabilidad",(O134-(O134)*M135),O134),"")))</f>
        <v/>
      </c>
      <c r="P135" s="138" t="str">
        <f t="shared" si="25"/>
        <v/>
      </c>
      <c r="Q135" s="137" t="str">
        <f>IF(A135="","",IF(D135=1,IFERROR(IF(N135="Impacto",(VLOOKUP(A135,'Mapa inherente'!$A$10:$M$38,13,FALSE)-(VLOOKUP(A135,'Mapa inherente'!$A$10:$M$38,13,FALSE)*M135)),IF(N135="Probabilidad",VLOOKUP(A135,'Mapa inherente'!$A$10:$M$38,13,FALSE),"")),""),
                   IFERROR(IF(N135="Impacto",(Q134-(Q134)*M135),Q134),"")))</f>
        <v/>
      </c>
      <c r="R135" s="138" t="str">
        <f t="shared" si="26"/>
        <v/>
      </c>
      <c r="S135" s="138" t="str">
        <f t="shared" si="27"/>
        <v/>
      </c>
      <c r="T135" s="139"/>
    </row>
    <row r="136" spans="1:20" ht="16.5" hidden="1" x14ac:dyDescent="0.25">
      <c r="A136" s="100"/>
      <c r="B136" s="101" t="str">
        <f>IF(A136="","",VLOOKUP(A136,'Mapa inherente'!$A$10:$E$38,5,FALSE))</f>
        <v/>
      </c>
      <c r="C136" s="102" t="str">
        <f>IF(A136="","",VLOOKUP(A136,'Mapa inherente'!$A$10:$N$38,14,FALSE))</f>
        <v/>
      </c>
      <c r="D136" s="133" t="str">
        <f t="shared" si="22"/>
        <v/>
      </c>
      <c r="E136" s="104"/>
      <c r="F136" s="104"/>
      <c r="G136" s="104"/>
      <c r="H136" s="134"/>
      <c r="I136" s="134"/>
      <c r="J136" s="134"/>
      <c r="K136" s="134"/>
      <c r="L136" s="134"/>
      <c r="M136" s="135" t="str">
        <f t="shared" si="23"/>
        <v/>
      </c>
      <c r="N136" s="136" t="str">
        <f t="shared" si="24"/>
        <v/>
      </c>
      <c r="O136" s="137" t="str">
        <f>IF(A136="","",IF(D136=1,IFERROR(IF(N136="Probabilidad",(VLOOKUP(A136,'Mapa inherente'!$A$10:$M$38,9,FALSE)-(VLOOKUP(A136,'Mapa inherente'!$A$10:$M$38,9,FALSE)*M136)),IF(N136="Impacto",VLOOKUP(A136,'Mapa inherente'!$A$10:$M$38,9,FALSE),"")),""),
IFERROR(IF(N136="Probabilidad",(O135-(O135)*M136),O135),"")))</f>
        <v/>
      </c>
      <c r="P136" s="138" t="str">
        <f t="shared" si="25"/>
        <v/>
      </c>
      <c r="Q136" s="137" t="str">
        <f>IF(A136="","",IF(D136=1,IFERROR(IF(N136="Impacto",(VLOOKUP(A136,'Mapa inherente'!$A$10:$M$38,13,FALSE)-(VLOOKUP(A136,'Mapa inherente'!$A$10:$M$38,13,FALSE)*M136)),IF(N136="Probabilidad",VLOOKUP(A136,'Mapa inherente'!$A$10:$M$38,13,FALSE),"")),""),
                   IFERROR(IF(N136="Impacto",(Q135-(Q135)*M136),Q135),"")))</f>
        <v/>
      </c>
      <c r="R136" s="138" t="str">
        <f t="shared" si="26"/>
        <v/>
      </c>
      <c r="S136" s="138" t="str">
        <f t="shared" si="27"/>
        <v/>
      </c>
      <c r="T136" s="139"/>
    </row>
    <row r="137" spans="1:20" ht="16.5" hidden="1" x14ac:dyDescent="0.25">
      <c r="A137" s="100"/>
      <c r="B137" s="101" t="str">
        <f>IF(A137="","",VLOOKUP(A137,'Mapa inherente'!$A$10:$E$38,5,FALSE))</f>
        <v/>
      </c>
      <c r="C137" s="102" t="str">
        <f>IF(A137="","",VLOOKUP(A137,'Mapa inherente'!$A$10:$N$38,14,FALSE))</f>
        <v/>
      </c>
      <c r="D137" s="133" t="str">
        <f t="shared" si="22"/>
        <v/>
      </c>
      <c r="E137" s="104"/>
      <c r="F137" s="104"/>
      <c r="G137" s="104"/>
      <c r="H137" s="134"/>
      <c r="I137" s="134"/>
      <c r="J137" s="134"/>
      <c r="K137" s="134"/>
      <c r="L137" s="134"/>
      <c r="M137" s="135" t="str">
        <f t="shared" si="23"/>
        <v/>
      </c>
      <c r="N137" s="136" t="str">
        <f t="shared" si="24"/>
        <v/>
      </c>
      <c r="O137" s="137" t="str">
        <f>IF(A137="","",IF(D137=1,IFERROR(IF(N137="Probabilidad",(VLOOKUP(A137,'Mapa inherente'!$A$10:$M$38,9,FALSE)-(VLOOKUP(A137,'Mapa inherente'!$A$10:$M$38,9,FALSE)*M137)),IF(N137="Impacto",VLOOKUP(A137,'Mapa inherente'!$A$10:$M$38,9,FALSE),"")),""),
IFERROR(IF(N137="Probabilidad",(O136-(O136)*M137),O136),"")))</f>
        <v/>
      </c>
      <c r="P137" s="138" t="str">
        <f t="shared" si="25"/>
        <v/>
      </c>
      <c r="Q137" s="137" t="str">
        <f>IF(A137="","",IF(D137=1,IFERROR(IF(N137="Impacto",(VLOOKUP(A137,'Mapa inherente'!$A$10:$M$38,13,FALSE)-(VLOOKUP(A137,'Mapa inherente'!$A$10:$M$38,13,FALSE)*M137)),IF(N137="Probabilidad",VLOOKUP(A137,'Mapa inherente'!$A$10:$M$38,13,FALSE),"")),""),
                   IFERROR(IF(N137="Impacto",(Q136-(Q136)*M137),Q136),"")))</f>
        <v/>
      </c>
      <c r="R137" s="138" t="str">
        <f t="shared" si="26"/>
        <v/>
      </c>
      <c r="S137" s="138" t="str">
        <f t="shared" si="27"/>
        <v/>
      </c>
      <c r="T137" s="139"/>
    </row>
    <row r="138" spans="1:20" ht="16.5" hidden="1" x14ac:dyDescent="0.25">
      <c r="A138" s="100"/>
      <c r="B138" s="101" t="str">
        <f>IF(A138="","",VLOOKUP(A138,'Mapa inherente'!$A$10:$E$38,5,FALSE))</f>
        <v/>
      </c>
      <c r="C138" s="102" t="str">
        <f>IF(A138="","",VLOOKUP(A138,'Mapa inherente'!$A$10:$N$38,14,FALSE))</f>
        <v/>
      </c>
      <c r="D138" s="133" t="str">
        <f t="shared" si="22"/>
        <v/>
      </c>
      <c r="E138" s="104"/>
      <c r="F138" s="104"/>
      <c r="G138" s="104"/>
      <c r="H138" s="134"/>
      <c r="I138" s="134"/>
      <c r="J138" s="134"/>
      <c r="K138" s="134"/>
      <c r="L138" s="134"/>
      <c r="M138" s="135" t="str">
        <f t="shared" si="23"/>
        <v/>
      </c>
      <c r="N138" s="136" t="str">
        <f t="shared" si="24"/>
        <v/>
      </c>
      <c r="O138" s="137" t="str">
        <f>IF(A138="","",IF(D138=1,IFERROR(IF(N138="Probabilidad",(VLOOKUP(A138,'Mapa inherente'!$A$10:$M$38,9,FALSE)-(VLOOKUP(A138,'Mapa inherente'!$A$10:$M$38,9,FALSE)*M138)),IF(N138="Impacto",VLOOKUP(A138,'Mapa inherente'!$A$10:$M$38,9,FALSE),"")),""),
IFERROR(IF(N138="Probabilidad",(O137-(O137)*M138),O137),"")))</f>
        <v/>
      </c>
      <c r="P138" s="138" t="str">
        <f t="shared" si="25"/>
        <v/>
      </c>
      <c r="Q138" s="137" t="str">
        <f>IF(A138="","",IF(D138=1,IFERROR(IF(N138="Impacto",(VLOOKUP(A138,'Mapa inherente'!$A$10:$M$38,13,FALSE)-(VLOOKUP(A138,'Mapa inherente'!$A$10:$M$38,13,FALSE)*M138)),IF(N138="Probabilidad",VLOOKUP(A138,'Mapa inherente'!$A$10:$M$38,13,FALSE),"")),""),
                   IFERROR(IF(N138="Impacto",(Q137-(Q137)*M138),Q137),"")))</f>
        <v/>
      </c>
      <c r="R138" s="138" t="str">
        <f t="shared" si="26"/>
        <v/>
      </c>
      <c r="S138" s="138" t="str">
        <f t="shared" si="27"/>
        <v/>
      </c>
      <c r="T138" s="139"/>
    </row>
    <row r="139" spans="1:20" ht="16.5" hidden="1" x14ac:dyDescent="0.25">
      <c r="A139" s="100"/>
      <c r="B139" s="101" t="str">
        <f>IF(A139="","",VLOOKUP(A139,'Mapa inherente'!$A$10:$E$38,5,FALSE))</f>
        <v/>
      </c>
      <c r="C139" s="102" t="str">
        <f>IF(A139="","",VLOOKUP(A139,'Mapa inherente'!$A$10:$N$38,14,FALSE))</f>
        <v/>
      </c>
      <c r="D139" s="133" t="str">
        <f t="shared" si="22"/>
        <v/>
      </c>
      <c r="E139" s="104"/>
      <c r="F139" s="104"/>
      <c r="G139" s="104"/>
      <c r="H139" s="134"/>
      <c r="I139" s="134"/>
      <c r="J139" s="134"/>
      <c r="K139" s="134"/>
      <c r="L139" s="134"/>
      <c r="M139" s="135" t="str">
        <f t="shared" si="23"/>
        <v/>
      </c>
      <c r="N139" s="136" t="str">
        <f t="shared" si="24"/>
        <v/>
      </c>
      <c r="O139" s="137" t="str">
        <f>IF(A139="","",IF(D139=1,IFERROR(IF(N139="Probabilidad",(VLOOKUP(A139,'Mapa inherente'!$A$10:$M$38,9,FALSE)-(VLOOKUP(A139,'Mapa inherente'!$A$10:$M$38,9,FALSE)*M139)),IF(N139="Impacto",VLOOKUP(A139,'Mapa inherente'!$A$10:$M$38,9,FALSE),"")),""),
IFERROR(IF(N139="Probabilidad",(O138-(O138)*M139),O138),"")))</f>
        <v/>
      </c>
      <c r="P139" s="138" t="str">
        <f t="shared" si="25"/>
        <v/>
      </c>
      <c r="Q139" s="137" t="str">
        <f>IF(A139="","",IF(D139=1,IFERROR(IF(N139="Impacto",(VLOOKUP(A139,'Mapa inherente'!$A$10:$M$38,13,FALSE)-(VLOOKUP(A139,'Mapa inherente'!$A$10:$M$38,13,FALSE)*M139)),IF(N139="Probabilidad",VLOOKUP(A139,'Mapa inherente'!$A$10:$M$38,13,FALSE),"")),""),
                   IFERROR(IF(N139="Impacto",(Q138-(Q138)*M139),Q138),"")))</f>
        <v/>
      </c>
      <c r="R139" s="138" t="str">
        <f t="shared" si="26"/>
        <v/>
      </c>
      <c r="S139" s="138" t="str">
        <f t="shared" si="27"/>
        <v/>
      </c>
      <c r="T139" s="139"/>
    </row>
    <row r="140" spans="1:20" ht="16.5" hidden="1" x14ac:dyDescent="0.25">
      <c r="A140" s="100"/>
      <c r="B140" s="101" t="str">
        <f>IF(A140="","",VLOOKUP(A140,'Mapa inherente'!$A$10:$E$38,5,FALSE))</f>
        <v/>
      </c>
      <c r="C140" s="102" t="str">
        <f>IF(A140="","",VLOOKUP(A140,'Mapa inherente'!$A$10:$N$38,14,FALSE))</f>
        <v/>
      </c>
      <c r="D140" s="133" t="str">
        <f t="shared" si="22"/>
        <v/>
      </c>
      <c r="E140" s="104"/>
      <c r="F140" s="104"/>
      <c r="G140" s="104"/>
      <c r="H140" s="134"/>
      <c r="I140" s="134"/>
      <c r="J140" s="134"/>
      <c r="K140" s="134"/>
      <c r="L140" s="134"/>
      <c r="M140" s="135" t="str">
        <f t="shared" si="23"/>
        <v/>
      </c>
      <c r="N140" s="136" t="str">
        <f t="shared" si="24"/>
        <v/>
      </c>
      <c r="O140" s="137" t="str">
        <f>IF(A140="","",IF(D140=1,IFERROR(IF(N140="Probabilidad",(VLOOKUP(A140,'Mapa inherente'!$A$10:$M$38,9,FALSE)-(VLOOKUP(A140,'Mapa inherente'!$A$10:$M$38,9,FALSE)*M140)),IF(N140="Impacto",VLOOKUP(A140,'Mapa inherente'!$A$10:$M$38,9,FALSE),"")),""),
IFERROR(IF(N140="Probabilidad",(O139-(O139)*M140),O139),"")))</f>
        <v/>
      </c>
      <c r="P140" s="138" t="str">
        <f t="shared" si="25"/>
        <v/>
      </c>
      <c r="Q140" s="137" t="str">
        <f>IF(A140="","",IF(D140=1,IFERROR(IF(N140="Impacto",(VLOOKUP(A140,'Mapa inherente'!$A$10:$M$38,13,FALSE)-(VLOOKUP(A140,'Mapa inherente'!$A$10:$M$38,13,FALSE)*M140)),IF(N140="Probabilidad",VLOOKUP(A140,'Mapa inherente'!$A$10:$M$38,13,FALSE),"")),""),
                   IFERROR(IF(N140="Impacto",(Q139-(Q139)*M140),Q139),"")))</f>
        <v/>
      </c>
      <c r="R140" s="138" t="str">
        <f t="shared" si="26"/>
        <v/>
      </c>
      <c r="S140" s="138" t="str">
        <f t="shared" si="27"/>
        <v/>
      </c>
      <c r="T140" s="139"/>
    </row>
    <row r="141" spans="1:20" hidden="1" x14ac:dyDescent="0.25"/>
    <row r="142" spans="1:20" hidden="1" x14ac:dyDescent="0.25"/>
    <row r="143" spans="1:20" hidden="1" x14ac:dyDescent="0.25"/>
    <row r="144" spans="1:20" hidden="1" x14ac:dyDescent="0.25"/>
    <row r="145" hidden="1" x14ac:dyDescent="0.25"/>
    <row r="146" hidden="1" x14ac:dyDescent="0.25"/>
    <row r="147" hidden="1" x14ac:dyDescent="0.25"/>
  </sheetData>
  <mergeCells count="21">
    <mergeCell ref="Q8:Q9"/>
    <mergeCell ref="S8:S9"/>
    <mergeCell ref="T8:T9"/>
    <mergeCell ref="S1:T2"/>
    <mergeCell ref="B7:B9"/>
    <mergeCell ref="A7:A9"/>
    <mergeCell ref="O8:O9"/>
    <mergeCell ref="A1:A2"/>
    <mergeCell ref="C7:C9"/>
    <mergeCell ref="P8:P9"/>
    <mergeCell ref="D8:D9"/>
    <mergeCell ref="E8:E9"/>
    <mergeCell ref="H8:M8"/>
    <mergeCell ref="N8:N9"/>
    <mergeCell ref="G8:G9"/>
    <mergeCell ref="D7:N7"/>
    <mergeCell ref="B1:R1"/>
    <mergeCell ref="B2:R2"/>
    <mergeCell ref="F8:F9"/>
    <mergeCell ref="O7:T7"/>
    <mergeCell ref="R8:R9"/>
  </mergeCells>
  <conditionalFormatting sqref="C10:C41">
    <cfRule type="cellIs" dxfId="43" priority="23" operator="equal">
      <formula>"Extremo"</formula>
    </cfRule>
    <cfRule type="cellIs" dxfId="42" priority="24" operator="equal">
      <formula>"Bajo"</formula>
    </cfRule>
    <cfRule type="cellIs" dxfId="41" priority="25" operator="equal">
      <formula>"Alto"</formula>
    </cfRule>
    <cfRule type="cellIs" dxfId="40" priority="26" operator="equal">
      <formula>"Moderado"</formula>
    </cfRule>
  </conditionalFormatting>
  <conditionalFormatting sqref="P10:P41">
    <cfRule type="cellIs" dxfId="39" priority="40" operator="equal">
      <formula>"Muy Alta"</formula>
    </cfRule>
    <cfRule type="cellIs" dxfId="38" priority="41" operator="equal">
      <formula>"Alta"</formula>
    </cfRule>
    <cfRule type="cellIs" dxfId="37" priority="42" operator="equal">
      <formula>"Media"</formula>
    </cfRule>
    <cfRule type="cellIs" dxfId="36" priority="43" operator="equal">
      <formula>"Baja"</formula>
    </cfRule>
    <cfRule type="cellIs" dxfId="35" priority="44" operator="equal">
      <formula>"Muy Baja"</formula>
    </cfRule>
  </conditionalFormatting>
  <conditionalFormatting sqref="R10:R41">
    <cfRule type="cellIs" dxfId="34" priority="35" operator="equal">
      <formula>"Catastrófico"</formula>
    </cfRule>
    <cfRule type="cellIs" dxfId="33" priority="36" operator="equal">
      <formula>"Mayor"</formula>
    </cfRule>
    <cfRule type="cellIs" dxfId="32" priority="37" operator="equal">
      <formula>"Moderado"</formula>
    </cfRule>
    <cfRule type="cellIs" dxfId="31" priority="38" operator="equal">
      <formula>"Menor"</formula>
    </cfRule>
    <cfRule type="cellIs" dxfId="30" priority="39" operator="equal">
      <formula>"Leve"</formula>
    </cfRule>
  </conditionalFormatting>
  <conditionalFormatting sqref="S10:S41">
    <cfRule type="cellIs" dxfId="29" priority="31" operator="equal">
      <formula>"Extremo"</formula>
    </cfRule>
    <cfRule type="cellIs" dxfId="28" priority="32" operator="equal">
      <formula>"Alto"</formula>
    </cfRule>
    <cfRule type="cellIs" dxfId="27" priority="33" operator="equal">
      <formula>"Moderado"</formula>
    </cfRule>
    <cfRule type="cellIs" dxfId="26" priority="34" operator="equal">
      <formula>"Bajo"</formula>
    </cfRule>
  </conditionalFormatting>
  <conditionalFormatting sqref="C43:C140">
    <cfRule type="cellIs" dxfId="21" priority="5" operator="equal">
      <formula>"Extremo"</formula>
    </cfRule>
    <cfRule type="cellIs" dxfId="20" priority="6" operator="equal">
      <formula>"Bajo"</formula>
    </cfRule>
    <cfRule type="cellIs" dxfId="19" priority="7" operator="equal">
      <formula>"Alto"</formula>
    </cfRule>
    <cfRule type="cellIs" dxfId="18" priority="8" operator="equal">
      <formula>"Moderado"</formula>
    </cfRule>
  </conditionalFormatting>
  <conditionalFormatting sqref="P42:P140">
    <cfRule type="cellIs" dxfId="17" priority="18" operator="equal">
      <formula>"Muy Alta"</formula>
    </cfRule>
    <cfRule type="cellIs" dxfId="16" priority="19" operator="equal">
      <formula>"Alta"</formula>
    </cfRule>
    <cfRule type="cellIs" dxfId="15" priority="20" operator="equal">
      <formula>"Media"</formula>
    </cfRule>
    <cfRule type="cellIs" dxfId="14" priority="21" operator="equal">
      <formula>"Baja"</formula>
    </cfRule>
    <cfRule type="cellIs" dxfId="13" priority="22" operator="equal">
      <formula>"Muy Baja"</formula>
    </cfRule>
  </conditionalFormatting>
  <conditionalFormatting sqref="R42:R140">
    <cfRule type="cellIs" dxfId="12" priority="13" operator="equal">
      <formula>"Catastrófico"</formula>
    </cfRule>
    <cfRule type="cellIs" dxfId="11" priority="14" operator="equal">
      <formula>"Mayor"</formula>
    </cfRule>
    <cfRule type="cellIs" dxfId="10" priority="15" operator="equal">
      <formula>"Moderado"</formula>
    </cfRule>
    <cfRule type="cellIs" dxfId="9" priority="16" operator="equal">
      <formula>"Menor"</formula>
    </cfRule>
    <cfRule type="cellIs" dxfId="8" priority="17" operator="equal">
      <formula>"Leve"</formula>
    </cfRule>
  </conditionalFormatting>
  <conditionalFormatting sqref="S42:S140">
    <cfRule type="cellIs" dxfId="7" priority="9" operator="equal">
      <formula>"Extremo"</formula>
    </cfRule>
    <cfRule type="cellIs" dxfId="6" priority="10" operator="equal">
      <formula>"Alto"</formula>
    </cfRule>
    <cfRule type="cellIs" dxfId="5" priority="11" operator="equal">
      <formula>"Moderado"</formula>
    </cfRule>
    <cfRule type="cellIs" dxfId="4" priority="12" operator="equal">
      <formula>"Bajo"</formula>
    </cfRule>
  </conditionalFormatting>
  <conditionalFormatting sqref="C42">
    <cfRule type="cellIs" dxfId="3" priority="1" operator="equal">
      <formula>"Extremo"</formula>
    </cfRule>
    <cfRule type="cellIs" dxfId="2" priority="2" operator="equal">
      <formula>"Bajo"</formula>
    </cfRule>
    <cfRule type="cellIs" dxfId="1" priority="3" operator="equal">
      <formula>"Alto"</formula>
    </cfRule>
    <cfRule type="cellIs" dxfId="0" priority="4" operator="equal">
      <formula>"Moderado"</formula>
    </cfRule>
  </conditionalFormatting>
  <pageMargins left="0.7" right="0.7" top="0.75" bottom="0.75" header="0.3" footer="0.3"/>
  <pageSetup scale="47" orientation="portrait" r:id="rId1"/>
  <drawing r:id="rId2"/>
  <legacyDrawing r:id="rId3"/>
  <extLst>
    <ext xmlns:x14="http://schemas.microsoft.com/office/spreadsheetml/2009/9/main" uri="{CCE6A557-97BC-4b89-ADB6-D9C93CAAB3DF}">
      <x14:dataValidations xmlns:xm="http://schemas.microsoft.com/office/excel/2006/main" count="89">
        <x14:dataValidation type="list" allowBlank="1" showInputMessage="1" showErrorMessage="1" xr:uid="{4AFF7286-D39A-46F6-8050-2AF022E96EAF}">
          <x14:formula1>
            <xm:f>'Mapa inherente'!$A$10:$A$38</xm:f>
          </x14:formula1>
          <xm:sqref>A10:A140</xm:sqref>
        </x14:dataValidation>
        <x14:dataValidation type="list" allowBlank="1" showInputMessage="1" showErrorMessage="1" xr:uid="{C7508B24-CD88-49E6-B8DE-3DFB494B59A6}">
          <x14:formula1>
            <xm:f>'Tabla Valoración controles'!$D$8:$D$10</xm:f>
          </x14:formula1>
          <xm:sqref>H31:H32 H41:H42 H51:H54 H72:H140</xm:sqref>
        </x14:dataValidation>
        <x14:dataValidation type="list" allowBlank="1" showInputMessage="1" showErrorMessage="1" xr:uid="{95B89EE9-26BC-4FE6-9CB3-C1C9457F38C1}">
          <x14:formula1>
            <xm:f>'Tabla Valoración controles'!$D$11:$D$12</xm:f>
          </x14:formula1>
          <xm:sqref>I31:I32 I41:I42 I51:I54 I72:I140</xm:sqref>
        </x14:dataValidation>
        <x14:dataValidation type="list" allowBlank="1" showInputMessage="1" showErrorMessage="1" xr:uid="{B46C9476-E060-4610-B6B5-5CFDDD316F48}">
          <x14:formula1>
            <xm:f>'Tabla Valoración controles'!$D$13:$D$14</xm:f>
          </x14:formula1>
          <xm:sqref>J31:J32 J41:J42 J51:J54 J72:J140</xm:sqref>
        </x14:dataValidation>
        <x14:dataValidation type="list" allowBlank="1" showInputMessage="1" showErrorMessage="1" xr:uid="{0E9DE717-34C5-498F-8EE1-7A03A88E957E}">
          <x14:formula1>
            <xm:f>'Tabla Valoración controles'!$D$15:$D$16</xm:f>
          </x14:formula1>
          <xm:sqref>K31:K32 K41:K42 K51:K54 K72:K140</xm:sqref>
        </x14:dataValidation>
        <x14:dataValidation type="list" allowBlank="1" showInputMessage="1" showErrorMessage="1" xr:uid="{34A32CB4-55F0-4958-B373-03F950F70759}">
          <x14:formula1>
            <xm:f>'Tabla Valoración controles'!$D$17:$D$18</xm:f>
          </x14:formula1>
          <xm:sqref>L31:M32 L41:M42 L51:M54 L72:M140</xm:sqref>
        </x14:dataValidation>
        <x14:dataValidation type="list" allowBlank="1" showInputMessage="1" showErrorMessage="1" xr:uid="{B824B030-A76E-4A9C-9251-8BC0F37AE6A7}">
          <x14:formula1>
            <xm:f>'Opciones Tratamiento'!$B$2:$B$5</xm:f>
          </x14:formula1>
          <xm:sqref>T13:T15 T20 T31:T46 T51:T58 T65 T69:T140</xm:sqref>
        </x14:dataValidation>
        <x14:dataValidation type="list" allowBlank="1" showInputMessage="1" showErrorMessage="1" xr:uid="{491068B7-FCA3-4F10-97B2-EF9B7D80A140}">
          <x14:formula1>
            <xm:f>Hoja2!$F$4:$F$10</xm:f>
          </x14:formula1>
          <xm:sqref>F31:F32 F41:F42 F51:F54 F72:F140</xm:sqref>
        </x14:dataValidation>
        <x14:dataValidation type="list" allowBlank="1" showInputMessage="1" showErrorMessage="1" xr:uid="{92EBE6F8-80B5-41BB-A375-809AD6EF8F58}">
          <x14:formula1>
            <xm:f>'C:\Users\KarimMahuad\Desktop\Control Interno Karim\Gestión de Riesgos\documentos 2024\[Mapa de Riesgos de Talento Humano 2024.xlsx]Hoja2'!#REF!</xm:f>
          </x14:formula1>
          <xm:sqref>F10:F15</xm:sqref>
        </x14:dataValidation>
        <x14:dataValidation type="list" allowBlank="1" showInputMessage="1" showErrorMessage="1" xr:uid="{62A531E8-CDF1-4B60-8552-08D1A6F6D467}">
          <x14:formula1>
            <xm:f>'C:\Users\KarimMahuad\Desktop\Control Interno Karim\Gestión de Riesgos\documentos 2024\[Mapa de Riesgos de Talento Humano 2024.xlsx]Tabla Valoración controles'!#REF!</xm:f>
          </x14:formula1>
          <xm:sqref>H10:M15</xm:sqref>
        </x14:dataValidation>
        <x14:dataValidation type="list" allowBlank="1" showInputMessage="1" showErrorMessage="1" xr:uid="{920B7D57-4596-4352-A0F7-2D47D4E6E270}">
          <x14:formula1>
            <xm:f>'C:\Users\KarimMahuad\Desktop\Control Interno Karim\Gestión de Riesgos\documentos 2024\[Mapa de Riesgos de Talento Humano 2024.xlsx]Opciones Tratamiento'!#REF!</xm:f>
          </x14:formula1>
          <xm:sqref>T10:T12</xm:sqref>
        </x14:dataValidation>
        <x14:dataValidation type="list" allowBlank="1" showInputMessage="1" showErrorMessage="1" xr:uid="{D8E450D2-60E7-446C-A623-765E96B0491B}">
          <x14:formula1>
            <xm:f>'C:\Users\KarimMahuad\Desktop\Control Interno Karim\Gestión de Riesgos\documentos 2024\[mapa de riesgos admisiones y registros 2024.xlsx]Hoja2'!#REF!</xm:f>
          </x14:formula1>
          <xm:sqref>F16:F19</xm:sqref>
        </x14:dataValidation>
        <x14:dataValidation type="list" allowBlank="1" showInputMessage="1" showErrorMessage="1" xr:uid="{68D0C761-D6E7-4D13-B242-3B6E8CA1B11B}">
          <x14:formula1>
            <xm:f>'C:\Users\KarimMahuad\Desktop\Control Interno Karim\Gestión de Riesgos\documentos 2024\[mapa de riesgos admisiones y registros 2024.xlsx]Tabla Valoración controles'!#REF!</xm:f>
          </x14:formula1>
          <xm:sqref>H16:M19</xm:sqref>
        </x14:dataValidation>
        <x14:dataValidation type="list" allowBlank="1" showInputMessage="1" showErrorMessage="1" xr:uid="{90A0E8E3-A4D1-403F-BE2F-EF772793932C}">
          <x14:formula1>
            <xm:f>'C:\Users\KarimMahuad\Desktop\Control Interno Karim\Gestión de Riesgos\documentos 2024\[mapa de riesgos admisiones y registros 2024.xlsx]Opciones Tratamiento'!#REF!</xm:f>
          </x14:formula1>
          <xm:sqref>T16:T19</xm:sqref>
        </x14:dataValidation>
        <x14:dataValidation type="list" allowBlank="1" showInputMessage="1" showErrorMessage="1" xr:uid="{32FBEC0E-2917-4CD0-9C76-3EFDE2C0C433}">
          <x14:formula1>
            <xm:f>'C:\Users\KarimMahuad\Desktop\Control Interno Karim\Gestión de Riesgos\documentos 2024\[Mapa de riesgos Comunicaciones 2024.xlsx]Hoja2'!#REF!</xm:f>
          </x14:formula1>
          <xm:sqref>F20</xm:sqref>
        </x14:dataValidation>
        <x14:dataValidation type="list" allowBlank="1" showInputMessage="1" showErrorMessage="1" xr:uid="{252DEEEF-147B-4E5D-96F4-999876B941FB}">
          <x14:formula1>
            <xm:f>'C:\Users\KarimMahuad\Desktop\Control Interno Karim\Gestión de Riesgos\documentos 2024\[Mapa de riesgos Comunicaciones 2024.xlsx]Tabla Valoración controles'!#REF!</xm:f>
          </x14:formula1>
          <xm:sqref>H20:M20</xm:sqref>
        </x14:dataValidation>
        <x14:dataValidation type="list" allowBlank="1" showInputMessage="1" showErrorMessage="1" xr:uid="{FEDB6AD7-32CA-4607-84DB-4207BF7A4E91}">
          <x14:formula1>
            <xm:f>'C:\Users\KarimMahuad\Desktop\Control Interno Karim\Gestión de Riesgos\documentos 2024\[Mapa de Riesgos Docencia 2024.xlsx]Hoja2'!#REF!</xm:f>
          </x14:formula1>
          <xm:sqref>F21:F22</xm:sqref>
        </x14:dataValidation>
        <x14:dataValidation type="list" allowBlank="1" showInputMessage="1" showErrorMessage="1" xr:uid="{C42BCCCB-44C7-4FE4-ACA3-2C937F83FCA0}">
          <x14:formula1>
            <xm:f>'C:\Users\KarimMahuad\Desktop\Control Interno Karim\Gestión de Riesgos\documentos 2024\[Mapa de Riesgos Docencia 2024.xlsx]Tabla Valoración controles'!#REF!</xm:f>
          </x14:formula1>
          <xm:sqref>H21:M22</xm:sqref>
        </x14:dataValidation>
        <x14:dataValidation type="list" allowBlank="1" showInputMessage="1" showErrorMessage="1" xr:uid="{0A0B8ABC-7199-4138-9FAA-90C9493ECCD0}">
          <x14:formula1>
            <xm:f>'C:\Users\KarimMahuad\Desktop\Control Interno Karim\Gestión de Riesgos\documentos 2024\[Mapa de Riesgos Docencia 2024.xlsx]Opciones Tratamiento'!#REF!</xm:f>
          </x14:formula1>
          <xm:sqref>T21:T22</xm:sqref>
        </x14:dataValidation>
        <x14:dataValidation type="list" allowBlank="1" showInputMessage="1" showErrorMessage="1" xr:uid="{DB1878EC-7497-452B-8E35-6C6EBE9D6636}">
          <x14:formula1>
            <xm:f>'C:\Users\KarimMahuad\Desktop\Control Interno Karim\Gestión de Riesgos\documentos 2024\[Mapa de Riesgos Extensión (18-04-2024).xlsx]Hoja2'!#REF!</xm:f>
          </x14:formula1>
          <xm:sqref>F23:F24</xm:sqref>
        </x14:dataValidation>
        <x14:dataValidation type="list" allowBlank="1" showInputMessage="1" showErrorMessage="1" xr:uid="{84ADDE7E-D238-48FC-8131-2DC20AD7B27F}">
          <x14:formula1>
            <xm:f>'C:\Users\KarimMahuad\Desktop\Control Interno Karim\Gestión de Riesgos\documentos 2024\[Mapa de Riesgos Extensión (18-04-2024).xlsx]Tabla Valoración controles'!#REF!</xm:f>
          </x14:formula1>
          <xm:sqref>H23:M24</xm:sqref>
        </x14:dataValidation>
        <x14:dataValidation type="list" allowBlank="1" showInputMessage="1" showErrorMessage="1" xr:uid="{A78B34E1-A806-46C1-9921-C9DC0FAE2129}">
          <x14:formula1>
            <xm:f>'C:\Users\KarimMahuad\Desktop\Control Interno Karim\Gestión de Riesgos\documentos 2024\[Mapa de Riesgos Extensión (18-04-2024).xlsx]Opciones Tratamiento'!#REF!</xm:f>
          </x14:formula1>
          <xm:sqref>T23:T24</xm:sqref>
        </x14:dataValidation>
        <x14:dataValidation type="list" allowBlank="1" showInputMessage="1" showErrorMessage="1" xr:uid="{F1BA6022-FBF6-4741-BF5E-49C642B863D3}">
          <x14:formula1>
            <xm:f>'C:\Users\KarimMahuad\Desktop\Control Interno Karim\Gestión de Riesgos\documentos 2024\[Mapa de Riesgos G. Doc 2024.xlsx]Hoja2'!#REF!</xm:f>
          </x14:formula1>
          <xm:sqref>F25:F30</xm:sqref>
        </x14:dataValidation>
        <x14:dataValidation type="list" allowBlank="1" showInputMessage="1" showErrorMessage="1" xr:uid="{66AB60D9-8DA8-42AA-BF5D-58E74813DEBC}">
          <x14:formula1>
            <xm:f>'C:\Users\KarimMahuad\Desktop\Control Interno Karim\Gestión de Riesgos\documentos 2024\[Mapa de Riesgos G. Doc 2024.xlsx]Tabla Valoración controles'!#REF!</xm:f>
          </x14:formula1>
          <xm:sqref>H25:M30</xm:sqref>
        </x14:dataValidation>
        <x14:dataValidation type="list" allowBlank="1" showInputMessage="1" showErrorMessage="1" xr:uid="{D1F534A0-D5C9-4D32-B6E4-D750F20CFF72}">
          <x14:formula1>
            <xm:f>'C:\Users\KarimMahuad\Desktop\Control Interno Karim\Gestión de Riesgos\documentos 2024\[Mapa de Riesgos G. Doc 2024.xlsx]Opciones Tratamiento'!#REF!</xm:f>
          </x14:formula1>
          <xm:sqref>T25:T30</xm:sqref>
        </x14:dataValidation>
        <x14:dataValidation type="list" allowBlank="1" showInputMessage="1" showErrorMessage="1" xr:uid="{1847B25A-0A86-42F9-B66F-83FBA5742F68}">
          <x14:formula1>
            <xm:f>'C:\Users\KarimMahuad\Desktop\Control Interno Karim\Gestión de Riesgos\documentos 2024\[Mapa de Riesgos Gestión Financiera (18-04-2024).xlsx]Hoja2'!#REF!</xm:f>
          </x14:formula1>
          <xm:sqref>F33:F40</xm:sqref>
        </x14:dataValidation>
        <x14:dataValidation type="list" allowBlank="1" showInputMessage="1" showErrorMessage="1" xr:uid="{E35678FA-E75A-410E-8811-6C7D5E39AD14}">
          <x14:formula1>
            <xm:f>'C:\Users\KarimMahuad\Desktop\Control Interno Karim\Gestión de Riesgos\documentos 2024\[Mapa de Riesgos Gestión Financiera (18-04-2024).xlsx]Tabla Valoración controles'!#REF!</xm:f>
          </x14:formula1>
          <xm:sqref>L33:M40</xm:sqref>
        </x14:dataValidation>
        <x14:dataValidation type="list" allowBlank="1" showInputMessage="1" showErrorMessage="1" xr:uid="{EF179BD3-3E6C-4DC4-833C-A2EC21647A10}">
          <x14:formula1>
            <xm:f>'C:\Users\KarimMahuad\Desktop\Control Interno Karim\Gestión de Riesgos\documentos 2024\[Mapa de Riesgos Gestión Financiera (18-04-2024).xlsx]Tabla Valoración controles'!#REF!</xm:f>
          </x14:formula1>
          <xm:sqref>K33:K40</xm:sqref>
        </x14:dataValidation>
        <x14:dataValidation type="list" allowBlank="1" showInputMessage="1" showErrorMessage="1" xr:uid="{D865D472-DCC4-4A16-BF52-1D92F59781AB}">
          <x14:formula1>
            <xm:f>'C:\Users\KarimMahuad\Desktop\Control Interno Karim\Gestión de Riesgos\documentos 2024\[Mapa de Riesgos Gestión Financiera (18-04-2024).xlsx]Tabla Valoración controles'!#REF!</xm:f>
          </x14:formula1>
          <xm:sqref>J33:J40</xm:sqref>
        </x14:dataValidation>
        <x14:dataValidation type="list" allowBlank="1" showInputMessage="1" showErrorMessage="1" xr:uid="{94DADE98-BD73-434C-8D2A-B5F7C8BD8528}">
          <x14:formula1>
            <xm:f>'C:\Users\KarimMahuad\Desktop\Control Interno Karim\Gestión de Riesgos\documentos 2024\[Mapa de Riesgos Gestión Financiera (18-04-2024).xlsx]Tabla Valoración controles'!#REF!</xm:f>
          </x14:formula1>
          <xm:sqref>I33:I40</xm:sqref>
        </x14:dataValidation>
        <x14:dataValidation type="list" allowBlank="1" showInputMessage="1" showErrorMessage="1" xr:uid="{73B9404A-8D35-4A11-8BAE-C2BAC63029DF}">
          <x14:formula1>
            <xm:f>'C:\Users\KarimMahuad\Desktop\Control Interno Karim\Gestión de Riesgos\documentos 2024\[Mapa de Riesgos Gestión Financiera (18-04-2024).xlsx]Tabla Valoración controles'!#REF!</xm:f>
          </x14:formula1>
          <xm:sqref>H33:H40</xm:sqref>
        </x14:dataValidation>
        <x14:dataValidation type="list" allowBlank="1" showInputMessage="1" showErrorMessage="1" xr:uid="{225D19DC-83DB-4FDB-B5D2-2E0B5D26522E}">
          <x14:formula1>
            <xm:f>'C:\Users\KarimMahuad\Desktop\Control Interno Karim\Gestión de Riesgos\documentos 2024\[Mapa de Riesgos Gestión Legal (18-04-2024).xlsx]Hoja2'!#REF!</xm:f>
          </x14:formula1>
          <xm:sqref>F43</xm:sqref>
        </x14:dataValidation>
        <x14:dataValidation type="list" allowBlank="1" showInputMessage="1" showErrorMessage="1" xr:uid="{EA12FFAA-7195-4993-B84C-10EF02B0BC04}">
          <x14:formula1>
            <xm:f>'C:\Users\KarimMahuad\Desktop\Control Interno Karim\Gestión de Riesgos\documentos 2024\[Mapa de Riesgos Gestión Legal (18-04-2024).xlsx]Tabla Valoración controles'!#REF!</xm:f>
          </x14:formula1>
          <xm:sqref>L43:M43</xm:sqref>
        </x14:dataValidation>
        <x14:dataValidation type="list" allowBlank="1" showInputMessage="1" showErrorMessage="1" xr:uid="{3591379D-6E36-4CB3-849C-D5A612C9BC1A}">
          <x14:formula1>
            <xm:f>'C:\Users\KarimMahuad\Desktop\Control Interno Karim\Gestión de Riesgos\documentos 2024\[Mapa de Riesgos Gestión Legal (18-04-2024).xlsx]Tabla Valoración controles'!#REF!</xm:f>
          </x14:formula1>
          <xm:sqref>K43</xm:sqref>
        </x14:dataValidation>
        <x14:dataValidation type="list" allowBlank="1" showInputMessage="1" showErrorMessage="1" xr:uid="{7C6F9CAA-873D-405A-8B51-23364B281BB9}">
          <x14:formula1>
            <xm:f>'C:\Users\KarimMahuad\Desktop\Control Interno Karim\Gestión de Riesgos\documentos 2024\[Mapa de Riesgos Gestión Legal (18-04-2024).xlsx]Tabla Valoración controles'!#REF!</xm:f>
          </x14:formula1>
          <xm:sqref>J43</xm:sqref>
        </x14:dataValidation>
        <x14:dataValidation type="list" allowBlank="1" showInputMessage="1" showErrorMessage="1" xr:uid="{40A00BA3-F521-4EB6-87E5-79DE0AD05F1E}">
          <x14:formula1>
            <xm:f>'C:\Users\KarimMahuad\Desktop\Control Interno Karim\Gestión de Riesgos\documentos 2024\[Mapa de Riesgos Gestión Legal (18-04-2024).xlsx]Tabla Valoración controles'!#REF!</xm:f>
          </x14:formula1>
          <xm:sqref>I43</xm:sqref>
        </x14:dataValidation>
        <x14:dataValidation type="list" allowBlank="1" showInputMessage="1" showErrorMessage="1" xr:uid="{C1AFC372-1B7B-4246-BA69-59C0245AC4FC}">
          <x14:formula1>
            <xm:f>'C:\Users\KarimMahuad\Desktop\Control Interno Karim\Gestión de Riesgos\documentos 2024\[Mapa de Riesgos Gestión Legal (18-04-2024).xlsx]Tabla Valoración controles'!#REF!</xm:f>
          </x14:formula1>
          <xm:sqref>H43</xm:sqref>
        </x14:dataValidation>
        <x14:dataValidation type="list" allowBlank="1" showInputMessage="1" showErrorMessage="1" xr:uid="{4A8E03A8-9661-4BA7-8B53-6787C7BAA37A}">
          <x14:formula1>
            <xm:f>'C:\Users\KarimMahuad\Desktop\Control Interno Karim\Gestión de Riesgos\documentos 2024\[Mapa de riesgos planeación 10_04_2024.xlsx]Hoja2'!#REF!</xm:f>
          </x14:formula1>
          <xm:sqref>F44:F46</xm:sqref>
        </x14:dataValidation>
        <x14:dataValidation type="list" allowBlank="1" showInputMessage="1" showErrorMessage="1" xr:uid="{828906FE-52F1-45FB-BE81-54411E0A3A00}">
          <x14:formula1>
            <xm:f>'C:\Users\KarimMahuad\Desktop\Control Interno Karim\Gestión de Riesgos\documentos 2024\[Mapa de riesgos planeación 10_04_2024.xlsx]Tabla Valoración controles'!#REF!</xm:f>
          </x14:formula1>
          <xm:sqref>L44:M46</xm:sqref>
        </x14:dataValidation>
        <x14:dataValidation type="list" allowBlank="1" showInputMessage="1" showErrorMessage="1" xr:uid="{56DE84EA-6935-4DB1-9531-035484D68CDA}">
          <x14:formula1>
            <xm:f>'C:\Users\KarimMahuad\Desktop\Control Interno Karim\Gestión de Riesgos\documentos 2024\[Mapa de riesgos planeación 10_04_2024.xlsx]Tabla Valoración controles'!#REF!</xm:f>
          </x14:formula1>
          <xm:sqref>K44:K46</xm:sqref>
        </x14:dataValidation>
        <x14:dataValidation type="list" allowBlank="1" showInputMessage="1" showErrorMessage="1" xr:uid="{87BE2E99-569A-43BC-AD74-3289B6BED031}">
          <x14:formula1>
            <xm:f>'C:\Users\KarimMahuad\Desktop\Control Interno Karim\Gestión de Riesgos\documentos 2024\[Mapa de riesgos planeación 10_04_2024.xlsx]Tabla Valoración controles'!#REF!</xm:f>
          </x14:formula1>
          <xm:sqref>J44:J46</xm:sqref>
        </x14:dataValidation>
        <x14:dataValidation type="list" allowBlank="1" showInputMessage="1" showErrorMessage="1" xr:uid="{195E6955-F5E1-4B87-B910-6DF3D5DFED36}">
          <x14:formula1>
            <xm:f>'C:\Users\KarimMahuad\Desktop\Control Interno Karim\Gestión de Riesgos\documentos 2024\[Mapa de riesgos planeación 10_04_2024.xlsx]Tabla Valoración controles'!#REF!</xm:f>
          </x14:formula1>
          <xm:sqref>I44:I46</xm:sqref>
        </x14:dataValidation>
        <x14:dataValidation type="list" allowBlank="1" showInputMessage="1" showErrorMessage="1" xr:uid="{A7D13B1C-8021-4135-8769-64DF52FD2925}">
          <x14:formula1>
            <xm:f>'C:\Users\KarimMahuad\Desktop\Control Interno Karim\Gestión de Riesgos\documentos 2024\[Mapa de riesgos planeación 10_04_2024.xlsx]Tabla Valoración controles'!#REF!</xm:f>
          </x14:formula1>
          <xm:sqref>H44:H46</xm:sqref>
        </x14:dataValidation>
        <x14:dataValidation type="list" allowBlank="1" showInputMessage="1" showErrorMessage="1" xr:uid="{FDD28F62-3E39-479B-B15A-502A880D2175}">
          <x14:formula1>
            <xm:f>'C:\Users\KarimMahuad\Desktop\Control Interno Karim\Gestión de Riesgos\documentos 2024\[Mapa de riesgos seguimiento y control 08_04_2024.xlsx]Hoja2'!#REF!</xm:f>
          </x14:formula1>
          <xm:sqref>F47:F50</xm:sqref>
        </x14:dataValidation>
        <x14:dataValidation type="list" allowBlank="1" showInputMessage="1" showErrorMessage="1" xr:uid="{325975D6-CAFE-4E25-9851-C97EB31D7193}">
          <x14:formula1>
            <xm:f>'C:\Users\KarimMahuad\Desktop\Control Interno Karim\Gestión de Riesgos\documentos 2024\[Mapa de riesgos seguimiento y control 08_04_2024.xlsx]Tabla Valoración controles'!#REF!</xm:f>
          </x14:formula1>
          <xm:sqref>L47:M50</xm:sqref>
        </x14:dataValidation>
        <x14:dataValidation type="list" allowBlank="1" showInputMessage="1" showErrorMessage="1" xr:uid="{ED70F6AC-75FC-49B0-A4E0-33361F9F4870}">
          <x14:formula1>
            <xm:f>'C:\Users\KarimMahuad\Desktop\Control Interno Karim\Gestión de Riesgos\documentos 2024\[Mapa de riesgos seguimiento y control 08_04_2024.xlsx]Tabla Valoración controles'!#REF!</xm:f>
          </x14:formula1>
          <xm:sqref>K47:K50</xm:sqref>
        </x14:dataValidation>
        <x14:dataValidation type="list" allowBlank="1" showInputMessage="1" showErrorMessage="1" xr:uid="{696A7550-A6E2-4952-950D-660B9EF64D3F}">
          <x14:formula1>
            <xm:f>'C:\Users\KarimMahuad\Desktop\Control Interno Karim\Gestión de Riesgos\documentos 2024\[Mapa de riesgos seguimiento y control 08_04_2024.xlsx]Tabla Valoración controles'!#REF!</xm:f>
          </x14:formula1>
          <xm:sqref>J47:J50</xm:sqref>
        </x14:dataValidation>
        <x14:dataValidation type="list" allowBlank="1" showInputMessage="1" showErrorMessage="1" xr:uid="{7AADE42C-FCAB-40E0-B9EC-043E876CBF37}">
          <x14:formula1>
            <xm:f>'C:\Users\KarimMahuad\Desktop\Control Interno Karim\Gestión de Riesgos\documentos 2024\[Mapa de riesgos seguimiento y control 08_04_2024.xlsx]Tabla Valoración controles'!#REF!</xm:f>
          </x14:formula1>
          <xm:sqref>I47:I50</xm:sqref>
        </x14:dataValidation>
        <x14:dataValidation type="list" allowBlank="1" showInputMessage="1" showErrorMessage="1" xr:uid="{FB5CF078-91D7-44E1-A407-44D1EB022F61}">
          <x14:formula1>
            <xm:f>'C:\Users\KarimMahuad\Desktop\Control Interno Karim\Gestión de Riesgos\documentos 2024\[Mapa de riesgos seguimiento y control 08_04_2024.xlsx]Tabla Valoración controles'!#REF!</xm:f>
          </x14:formula1>
          <xm:sqref>H47:H50</xm:sqref>
        </x14:dataValidation>
        <x14:dataValidation type="list" allowBlank="1" showInputMessage="1" showErrorMessage="1" xr:uid="{AAB358CB-8FBE-4212-984F-090FA9E9A799}">
          <x14:formula1>
            <xm:f>'C:\Users\KarimMahuad\Desktop\Control Interno Karim\Gestión de Riesgos\documentos 2024\[Mapa de riesgos seguimiento y control 08_04_2024.xlsx]Opciones Tratamiento'!#REF!</xm:f>
          </x14:formula1>
          <xm:sqref>T47:T50</xm:sqref>
        </x14:dataValidation>
        <x14:dataValidation type="list" allowBlank="1" showInputMessage="1" showErrorMessage="1" xr:uid="{ED6B8954-6512-4D53-9B82-DAF93A99B343}">
          <x14:formula1>
            <xm:f>'C:\Users\KarimMahuad\Desktop\Control Interno Karim\Gestión de Riesgos\documentos 2024\[Mapaderiesgos_Bienestar 2024.xlsx]Hoja2'!#REF!</xm:f>
          </x14:formula1>
          <xm:sqref>F55:F60</xm:sqref>
        </x14:dataValidation>
        <x14:dataValidation type="list" allowBlank="1" showInputMessage="1" showErrorMessage="1" xr:uid="{21CF1054-0325-4597-9EE8-78CE52000872}">
          <x14:formula1>
            <xm:f>'C:\Users\KarimMahuad\Desktop\Control Interno Karim\Gestión de Riesgos\documentos 2024\[Mapaderiesgos_Bienestar 2024.xlsx]Tabla Valoración controles'!#REF!</xm:f>
          </x14:formula1>
          <xm:sqref>L55:M60</xm:sqref>
        </x14:dataValidation>
        <x14:dataValidation type="list" allowBlank="1" showInputMessage="1" showErrorMessage="1" xr:uid="{0E00A98A-4CCE-4DE5-8971-74718F6FB890}">
          <x14:formula1>
            <xm:f>'C:\Users\KarimMahuad\Desktop\Control Interno Karim\Gestión de Riesgos\documentos 2024\[Mapaderiesgos_Bienestar 2024.xlsx]Tabla Valoración controles'!#REF!</xm:f>
          </x14:formula1>
          <xm:sqref>K55:K60</xm:sqref>
        </x14:dataValidation>
        <x14:dataValidation type="list" allowBlank="1" showInputMessage="1" showErrorMessage="1" xr:uid="{1A9483A6-39AD-4197-AB63-D9B7C7382A9F}">
          <x14:formula1>
            <xm:f>'C:\Users\KarimMahuad\Desktop\Control Interno Karim\Gestión de Riesgos\documentos 2024\[Mapaderiesgos_Bienestar 2024.xlsx]Tabla Valoración controles'!#REF!</xm:f>
          </x14:formula1>
          <xm:sqref>J55:J60</xm:sqref>
        </x14:dataValidation>
        <x14:dataValidation type="list" allowBlank="1" showInputMessage="1" showErrorMessage="1" xr:uid="{4D43C47F-9A24-4C97-AB5B-F5C0825D3655}">
          <x14:formula1>
            <xm:f>'C:\Users\KarimMahuad\Desktop\Control Interno Karim\Gestión de Riesgos\documentos 2024\[Mapaderiesgos_Bienestar 2024.xlsx]Tabla Valoración controles'!#REF!</xm:f>
          </x14:formula1>
          <xm:sqref>I55:I60</xm:sqref>
        </x14:dataValidation>
        <x14:dataValidation type="list" allowBlank="1" showInputMessage="1" showErrorMessage="1" xr:uid="{A81FA17E-3E8B-4CAE-A57F-E80618199C67}">
          <x14:formula1>
            <xm:f>'C:\Users\KarimMahuad\Desktop\Control Interno Karim\Gestión de Riesgos\documentos 2024\[Mapaderiesgos_Bienestar 2024.xlsx]Tabla Valoración controles'!#REF!</xm:f>
          </x14:formula1>
          <xm:sqref>H55:H60</xm:sqref>
        </x14:dataValidation>
        <x14:dataValidation type="list" allowBlank="1" showInputMessage="1" showErrorMessage="1" xr:uid="{FEB10FB5-4D62-4EED-B3C5-AB01841CD025}">
          <x14:formula1>
            <xm:f>'C:\Users\KarimMahuad\Desktop\Control Interno Karim\Gestión de Riesgos\documentos 2024\[Mapaderiesgos_Bienestar 2024.xlsx]Opciones Tratamiento'!#REF!</xm:f>
          </x14:formula1>
          <xm:sqref>T59:T60</xm:sqref>
        </x14:dataValidation>
        <x14:dataValidation type="list" allowBlank="1" showInputMessage="1" showErrorMessage="1" xr:uid="{CE67C59D-AAA8-45EE-9B7E-C2F387B0DCC7}">
          <x14:formula1>
            <xm:f>'C:\Users\KarimMahuad\Desktop\Control Interno Karim\Gestión de Riesgos\documentos 2024\[MapadeRiesgos_CONTRATACION-2024.xlsx]Hoja2'!#REF!</xm:f>
          </x14:formula1>
          <xm:sqref>F61:F64</xm:sqref>
        </x14:dataValidation>
        <x14:dataValidation type="list" allowBlank="1" showInputMessage="1" showErrorMessage="1" xr:uid="{10CB1D99-16C8-49C3-84EF-22EAC3BCCC13}">
          <x14:formula1>
            <xm:f>'C:\Users\KarimMahuad\Desktop\Control Interno Karim\Gestión de Riesgos\documentos 2024\[MapadeRiesgos_CONTRATACION-2024.xlsx]Tabla Valoración controles'!#REF!</xm:f>
          </x14:formula1>
          <xm:sqref>L61:M64</xm:sqref>
        </x14:dataValidation>
        <x14:dataValidation type="list" allowBlank="1" showInputMessage="1" showErrorMessage="1" xr:uid="{D3F87F10-B755-4B7F-80E8-F4F43F324CE9}">
          <x14:formula1>
            <xm:f>'C:\Users\KarimMahuad\Desktop\Control Interno Karim\Gestión de Riesgos\documentos 2024\[MapadeRiesgos_CONTRATACION-2024.xlsx]Tabla Valoración controles'!#REF!</xm:f>
          </x14:formula1>
          <xm:sqref>K61:K64</xm:sqref>
        </x14:dataValidation>
        <x14:dataValidation type="list" allowBlank="1" showInputMessage="1" showErrorMessage="1" xr:uid="{52C8C15B-654C-4E1E-9460-E5DC9BB08A75}">
          <x14:formula1>
            <xm:f>'C:\Users\KarimMahuad\Desktop\Control Interno Karim\Gestión de Riesgos\documentos 2024\[MapadeRiesgos_CONTRATACION-2024.xlsx]Tabla Valoración controles'!#REF!</xm:f>
          </x14:formula1>
          <xm:sqref>J61:J64</xm:sqref>
        </x14:dataValidation>
        <x14:dataValidation type="list" allowBlank="1" showInputMessage="1" showErrorMessage="1" xr:uid="{84B33CD4-A446-4F8F-8B16-55804AF62707}">
          <x14:formula1>
            <xm:f>'C:\Users\KarimMahuad\Desktop\Control Interno Karim\Gestión de Riesgos\documentos 2024\[MapadeRiesgos_CONTRATACION-2024.xlsx]Tabla Valoración controles'!#REF!</xm:f>
          </x14:formula1>
          <xm:sqref>I61:I64</xm:sqref>
        </x14:dataValidation>
        <x14:dataValidation type="list" allowBlank="1" showInputMessage="1" showErrorMessage="1" xr:uid="{1D8D5DE6-F394-4181-A682-CCB853C503CD}">
          <x14:formula1>
            <xm:f>'C:\Users\KarimMahuad\Desktop\Control Interno Karim\Gestión de Riesgos\documentos 2024\[MapadeRiesgos_CONTRATACION-2024.xlsx]Tabla Valoración controles'!#REF!</xm:f>
          </x14:formula1>
          <xm:sqref>H61:H64</xm:sqref>
        </x14:dataValidation>
        <x14:dataValidation type="list" allowBlank="1" showInputMessage="1" showErrorMessage="1" xr:uid="{375A29E0-34A6-4AB5-AD17-C3F2282946A4}">
          <x14:formula1>
            <xm:f>'C:\Users\KarimMahuad\Desktop\Control Interno Karim\Gestión de Riesgos\documentos 2024\[MapadeRiesgos_CONTRATACION-2024.xlsx]Opciones Tratamiento'!#REF!</xm:f>
          </x14:formula1>
          <xm:sqref>T61:T64</xm:sqref>
        </x14:dataValidation>
        <x14:dataValidation type="list" allowBlank="1" showInputMessage="1" showErrorMessage="1" xr:uid="{1102E04C-09A5-4DAD-AD1A-ECA8D1B89A18}">
          <x14:formula1>
            <xm:f>'C:\Users\KarimMahuad\Desktop\Control Interno Karim\Gestión de Riesgos\documentos 2024\[MapadeRiesgos_Desarrollo Tecnologico 2024.xlsx]Hoja2'!#REF!</xm:f>
          </x14:formula1>
          <xm:sqref>F65</xm:sqref>
        </x14:dataValidation>
        <x14:dataValidation type="list" allowBlank="1" showInputMessage="1" showErrorMessage="1" xr:uid="{B40BE50F-FDB6-473B-9419-6523766FC14F}">
          <x14:formula1>
            <xm:f>'C:\Users\KarimMahuad\Desktop\Control Interno Karim\Gestión de Riesgos\documentos 2024\[MapadeRiesgos_Desarrollo Tecnologico 2024.xlsx]Tabla Valoración controles'!#REF!</xm:f>
          </x14:formula1>
          <xm:sqref>L65:M65</xm:sqref>
        </x14:dataValidation>
        <x14:dataValidation type="list" allowBlank="1" showInputMessage="1" showErrorMessage="1" xr:uid="{DC45B166-3892-4F47-AD6B-8D6EFAF25395}">
          <x14:formula1>
            <xm:f>'C:\Users\KarimMahuad\Desktop\Control Interno Karim\Gestión de Riesgos\documentos 2024\[MapadeRiesgos_Desarrollo Tecnologico 2024.xlsx]Tabla Valoración controles'!#REF!</xm:f>
          </x14:formula1>
          <xm:sqref>K65</xm:sqref>
        </x14:dataValidation>
        <x14:dataValidation type="list" allowBlank="1" showInputMessage="1" showErrorMessage="1" xr:uid="{01704752-2779-4B97-A08B-8419AF9B6A46}">
          <x14:formula1>
            <xm:f>'C:\Users\KarimMahuad\Desktop\Control Interno Karim\Gestión de Riesgos\documentos 2024\[MapadeRiesgos_Desarrollo Tecnologico 2024.xlsx]Tabla Valoración controles'!#REF!</xm:f>
          </x14:formula1>
          <xm:sqref>J65</xm:sqref>
        </x14:dataValidation>
        <x14:dataValidation type="list" allowBlank="1" showInputMessage="1" showErrorMessage="1" xr:uid="{E063D85B-D3DD-4043-980A-B2421810C72A}">
          <x14:formula1>
            <xm:f>'C:\Users\KarimMahuad\Desktop\Control Interno Karim\Gestión de Riesgos\documentos 2024\[MapadeRiesgos_Desarrollo Tecnologico 2024.xlsx]Tabla Valoración controles'!#REF!</xm:f>
          </x14:formula1>
          <xm:sqref>I65</xm:sqref>
        </x14:dataValidation>
        <x14:dataValidation type="list" allowBlank="1" showInputMessage="1" showErrorMessage="1" xr:uid="{4C422219-2381-41F0-901C-5B5E3CDB6F5A}">
          <x14:formula1>
            <xm:f>'C:\Users\KarimMahuad\Desktop\Control Interno Karim\Gestión de Riesgos\documentos 2024\[MapadeRiesgos_Desarrollo Tecnologico 2024.xlsx]Tabla Valoración controles'!#REF!</xm:f>
          </x14:formula1>
          <xm:sqref>H65</xm:sqref>
        </x14:dataValidation>
        <x14:dataValidation type="list" allowBlank="1" showInputMessage="1" showErrorMessage="1" xr:uid="{26B7A4B1-0207-4922-85E7-99AD14D7BFFB}">
          <x14:formula1>
            <xm:f>'C:\Users\KarimMahuad\Desktop\Control Interno Karim\Gestión de Riesgos\documentos 2024\[MapadeRiesgos_Infraestructura 2024.xlsx]Hoja2'!#REF!</xm:f>
          </x14:formula1>
          <xm:sqref>F66:F68</xm:sqref>
        </x14:dataValidation>
        <x14:dataValidation type="list" allowBlank="1" showInputMessage="1" showErrorMessage="1" xr:uid="{5F1B352A-4194-479D-9854-669C2071D6C7}">
          <x14:formula1>
            <xm:f>'C:\Users\KarimMahuad\Desktop\Control Interno Karim\Gestión de Riesgos\documentos 2024\[MapadeRiesgos_Infraestructura 2024.xlsx]Tabla Valoración controles'!#REF!</xm:f>
          </x14:formula1>
          <xm:sqref>L66:M68</xm:sqref>
        </x14:dataValidation>
        <x14:dataValidation type="list" allowBlank="1" showInputMessage="1" showErrorMessage="1" xr:uid="{DA676883-54B5-4CD3-8590-C12AFDBD7E7A}">
          <x14:formula1>
            <xm:f>'C:\Users\KarimMahuad\Desktop\Control Interno Karim\Gestión de Riesgos\documentos 2024\[MapadeRiesgos_Infraestructura 2024.xlsx]Tabla Valoración controles'!#REF!</xm:f>
          </x14:formula1>
          <xm:sqref>K66:K68</xm:sqref>
        </x14:dataValidation>
        <x14:dataValidation type="list" allowBlank="1" showInputMessage="1" showErrorMessage="1" xr:uid="{FC8BF164-0D4F-4921-92CE-B9EA54FE04C9}">
          <x14:formula1>
            <xm:f>'C:\Users\KarimMahuad\Desktop\Control Interno Karim\Gestión de Riesgos\documentos 2024\[MapadeRiesgos_Infraestructura 2024.xlsx]Tabla Valoración controles'!#REF!</xm:f>
          </x14:formula1>
          <xm:sqref>J66:J68</xm:sqref>
        </x14:dataValidation>
        <x14:dataValidation type="list" allowBlank="1" showInputMessage="1" showErrorMessage="1" xr:uid="{F0A643ED-27FB-4CEA-91D7-2A5E1B3C9430}">
          <x14:formula1>
            <xm:f>'C:\Users\KarimMahuad\Desktop\Control Interno Karim\Gestión de Riesgos\documentos 2024\[MapadeRiesgos_Infraestructura 2024.xlsx]Tabla Valoración controles'!#REF!</xm:f>
          </x14:formula1>
          <xm:sqref>I66:I68</xm:sqref>
        </x14:dataValidation>
        <x14:dataValidation type="list" allowBlank="1" showInputMessage="1" showErrorMessage="1" xr:uid="{62C45934-04CC-45E7-B6C1-4CA2BB89B33C}">
          <x14:formula1>
            <xm:f>'C:\Users\KarimMahuad\Desktop\Control Interno Karim\Gestión de Riesgos\documentos 2024\[MapadeRiesgos_Infraestructura 2024.xlsx]Tabla Valoración controles'!#REF!</xm:f>
          </x14:formula1>
          <xm:sqref>H66:H68</xm:sqref>
        </x14:dataValidation>
        <x14:dataValidation type="list" allowBlank="1" showInputMessage="1" showErrorMessage="1" xr:uid="{35CF072B-F805-4ECE-B4C5-AD1C994541DC}">
          <x14:formula1>
            <xm:f>'C:\Users\KarimMahuad\Desktop\Control Interno Karim\Gestión de Riesgos\documentos 2024\[MapadeRiesgos_Infraestructura 2024.xlsx]Opciones Tratamiento'!#REF!</xm:f>
          </x14:formula1>
          <xm:sqref>T66:T68</xm:sqref>
        </x14:dataValidation>
        <x14:dataValidation type="list" allowBlank="1" showInputMessage="1" showErrorMessage="1" xr:uid="{9D328793-6A41-4773-9449-CB628C3A8BDE}">
          <x14:formula1>
            <xm:f>'C:\Users\KarimMahuad\Desktop\Control Interno Karim\Gestión de Riesgos\documentos 2024\[MapadeRiesgos_Internacionalización 2024.xlsx]Hoja2'!#REF!</xm:f>
          </x14:formula1>
          <xm:sqref>F69:F70</xm:sqref>
        </x14:dataValidation>
        <x14:dataValidation type="list" allowBlank="1" showInputMessage="1" showErrorMessage="1" xr:uid="{C5AC8909-62D2-4865-B33E-4F288700D2E6}">
          <x14:formula1>
            <xm:f>'C:\Users\KarimMahuad\Desktop\Control Interno Karim\Gestión de Riesgos\documentos 2024\[MapadeRiesgos_Internacionalización 2024.xlsx]Tabla Valoración controles'!#REF!</xm:f>
          </x14:formula1>
          <xm:sqref>L69:M70</xm:sqref>
        </x14:dataValidation>
        <x14:dataValidation type="list" allowBlank="1" showInputMessage="1" showErrorMessage="1" xr:uid="{B93EFE1D-D70B-426A-B48D-B00E692A9605}">
          <x14:formula1>
            <xm:f>'C:\Users\KarimMahuad\Desktop\Control Interno Karim\Gestión de Riesgos\documentos 2024\[MapadeRiesgos_Internacionalización 2024.xlsx]Tabla Valoración controles'!#REF!</xm:f>
          </x14:formula1>
          <xm:sqref>K69:K70</xm:sqref>
        </x14:dataValidation>
        <x14:dataValidation type="list" allowBlank="1" showInputMessage="1" showErrorMessage="1" xr:uid="{8AE7A606-7B6A-4876-B00C-0307D2CD6DF5}">
          <x14:formula1>
            <xm:f>'C:\Users\KarimMahuad\Desktop\Control Interno Karim\Gestión de Riesgos\documentos 2024\[MapadeRiesgos_Internacionalización 2024.xlsx]Tabla Valoración controles'!#REF!</xm:f>
          </x14:formula1>
          <xm:sqref>J69:J70</xm:sqref>
        </x14:dataValidation>
        <x14:dataValidation type="list" allowBlank="1" showInputMessage="1" showErrorMessage="1" xr:uid="{19F8536B-89BD-4ED8-A5D2-086F105FC7FC}">
          <x14:formula1>
            <xm:f>'C:\Users\KarimMahuad\Desktop\Control Interno Karim\Gestión de Riesgos\documentos 2024\[MapadeRiesgos_Internacionalización 2024.xlsx]Tabla Valoración controles'!#REF!</xm:f>
          </x14:formula1>
          <xm:sqref>I69:I70</xm:sqref>
        </x14:dataValidation>
        <x14:dataValidation type="list" allowBlank="1" showInputMessage="1" showErrorMessage="1" xr:uid="{2C2BAFD4-A1D6-46BB-83E1-835E6B07AB0D}">
          <x14:formula1>
            <xm:f>'C:\Users\KarimMahuad\Desktop\Control Interno Karim\Gestión de Riesgos\documentos 2024\[MapadeRiesgos_Internacionalización 2024.xlsx]Tabla Valoración controles'!#REF!</xm:f>
          </x14:formula1>
          <xm:sqref>H69:H70</xm:sqref>
        </x14:dataValidation>
        <x14:dataValidation type="list" allowBlank="1" showInputMessage="1" showErrorMessage="1" xr:uid="{BA08C076-921C-45B9-AE6D-97883DD0A6D7}">
          <x14:formula1>
            <xm:f>'[MapadeRiesgos_Investigación 2024.xlsx]Hoja2'!#REF!</xm:f>
          </x14:formula1>
          <xm:sqref>F71</xm:sqref>
        </x14:dataValidation>
        <x14:dataValidation type="list" allowBlank="1" showInputMessage="1" showErrorMessage="1" xr:uid="{1467BAB5-117C-45C4-80E9-10AB4D5AA7A1}">
          <x14:formula1>
            <xm:f>'[MapadeRiesgos_Investigación 2024.xlsx]Tabla Valoración controles'!#REF!</xm:f>
          </x14:formula1>
          <xm:sqref>L71:M71</xm:sqref>
        </x14:dataValidation>
        <x14:dataValidation type="list" allowBlank="1" showInputMessage="1" showErrorMessage="1" xr:uid="{7E1F6C17-9652-4686-A761-12615782C32D}">
          <x14:formula1>
            <xm:f>'[MapadeRiesgos_Investigación 2024.xlsx]Tabla Valoración controles'!#REF!</xm:f>
          </x14:formula1>
          <xm:sqref>K71</xm:sqref>
        </x14:dataValidation>
        <x14:dataValidation type="list" allowBlank="1" showInputMessage="1" showErrorMessage="1" xr:uid="{8823A698-F747-4F8D-9886-8D1834D958E5}">
          <x14:formula1>
            <xm:f>'[MapadeRiesgos_Investigación 2024.xlsx]Tabla Valoración controles'!#REF!</xm:f>
          </x14:formula1>
          <xm:sqref>J71</xm:sqref>
        </x14:dataValidation>
        <x14:dataValidation type="list" allowBlank="1" showInputMessage="1" showErrorMessage="1" xr:uid="{3224F1F6-3CE1-462D-989C-E9C0D6B00EDF}">
          <x14:formula1>
            <xm:f>'[MapadeRiesgos_Investigación 2024.xlsx]Tabla Valoración controles'!#REF!</xm:f>
          </x14:formula1>
          <xm:sqref>I71</xm:sqref>
        </x14:dataValidation>
        <x14:dataValidation type="list" allowBlank="1" showInputMessage="1" showErrorMessage="1" xr:uid="{15796BB5-23DF-4945-B30E-ED9DD0ED9F9A}">
          <x14:formula1>
            <xm:f>'[MapadeRiesgos_Investigación 2024.xlsx]Tabla Valoración controles'!#REF!</xm:f>
          </x14:formula1>
          <xm:sqref>H71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D73E0-5965-41B7-9F01-7DDD9980C76E}">
  <dimension ref="F4:F10"/>
  <sheetViews>
    <sheetView workbookViewId="0">
      <selection activeCell="G9" sqref="G9"/>
    </sheetView>
  </sheetViews>
  <sheetFormatPr baseColWidth="10" defaultRowHeight="15" x14ac:dyDescent="0.25"/>
  <cols>
    <col min="6" max="6" width="12" bestFit="1" customWidth="1"/>
  </cols>
  <sheetData>
    <row r="4" spans="6:6" x14ac:dyDescent="0.25">
      <c r="F4" t="s">
        <v>211</v>
      </c>
    </row>
    <row r="5" spans="6:6" x14ac:dyDescent="0.25">
      <c r="F5" t="s">
        <v>212</v>
      </c>
    </row>
    <row r="6" spans="6:6" x14ac:dyDescent="0.25">
      <c r="F6" t="s">
        <v>213</v>
      </c>
    </row>
    <row r="7" spans="6:6" x14ac:dyDescent="0.25">
      <c r="F7" t="s">
        <v>216</v>
      </c>
    </row>
    <row r="8" spans="6:6" x14ac:dyDescent="0.25">
      <c r="F8" t="s">
        <v>217</v>
      </c>
    </row>
    <row r="9" spans="6:6" x14ac:dyDescent="0.25">
      <c r="F9" t="s">
        <v>214</v>
      </c>
    </row>
    <row r="10" spans="6:6" x14ac:dyDescent="0.25">
      <c r="F10"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A2:AH59"/>
  <sheetViews>
    <sheetView topLeftCell="A7" zoomScale="90" zoomScaleNormal="90" workbookViewId="0">
      <selection activeCell="B13" sqref="B13"/>
    </sheetView>
  </sheetViews>
  <sheetFormatPr baseColWidth="10" defaultRowHeight="15" x14ac:dyDescent="0.25"/>
  <cols>
    <col min="2" max="2" width="24.140625" customWidth="1"/>
    <col min="3" max="3" width="70.140625" customWidth="1"/>
    <col min="4" max="4" width="29.85546875" customWidth="1"/>
  </cols>
  <sheetData>
    <row r="2" spans="1:34" s="38" customFormat="1" ht="42.75" customHeight="1" x14ac:dyDescent="0.25">
      <c r="B2" s="146"/>
      <c r="C2" s="78" t="s">
        <v>191</v>
      </c>
      <c r="D2" s="366" t="s">
        <v>231</v>
      </c>
    </row>
    <row r="3" spans="1:34" s="38" customFormat="1" ht="42.75" customHeight="1" x14ac:dyDescent="0.25">
      <c r="B3" s="147"/>
      <c r="C3" s="117" t="s">
        <v>192</v>
      </c>
      <c r="D3" s="367"/>
    </row>
    <row r="4" spans="1:34" s="38" customFormat="1" ht="18" customHeight="1" x14ac:dyDescent="0.25">
      <c r="B4" s="79"/>
      <c r="C4" s="80"/>
      <c r="D4" s="80"/>
      <c r="E4" s="81"/>
    </row>
    <row r="5" spans="1:34" ht="23.25" x14ac:dyDescent="0.25">
      <c r="A5" s="38"/>
      <c r="B5" s="365" t="s">
        <v>46</v>
      </c>
      <c r="C5" s="365"/>
      <c r="D5" s="365"/>
      <c r="E5" s="38"/>
      <c r="F5" s="38"/>
      <c r="G5" s="38"/>
      <c r="H5" s="38"/>
      <c r="I5" s="38"/>
      <c r="J5" s="38"/>
      <c r="K5" s="38"/>
      <c r="L5" s="38"/>
      <c r="M5" s="38"/>
      <c r="N5" s="38"/>
      <c r="O5" s="38"/>
      <c r="P5" s="38"/>
      <c r="Q5" s="38"/>
      <c r="R5" s="38"/>
      <c r="S5" s="38"/>
      <c r="T5" s="38"/>
      <c r="U5" s="38"/>
      <c r="V5" s="38"/>
      <c r="W5" s="38"/>
      <c r="X5" s="38"/>
      <c r="Y5" s="38"/>
      <c r="Z5" s="38"/>
      <c r="AA5" s="38"/>
      <c r="AB5" s="38"/>
    </row>
    <row r="6" spans="1:34" x14ac:dyDescent="0.2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34" ht="25.5" x14ac:dyDescent="0.25">
      <c r="A7" s="38"/>
      <c r="B7" s="9"/>
      <c r="C7" s="10" t="s">
        <v>43</v>
      </c>
      <c r="D7" s="10" t="s">
        <v>4</v>
      </c>
      <c r="E7" s="38"/>
      <c r="F7" s="38"/>
      <c r="G7" s="38"/>
      <c r="H7" s="38"/>
      <c r="I7" s="38"/>
      <c r="J7" s="38"/>
      <c r="K7" s="38"/>
      <c r="L7" s="38"/>
      <c r="M7" s="38"/>
      <c r="N7" s="38"/>
      <c r="O7" s="38"/>
      <c r="P7" s="38"/>
      <c r="Q7" s="38"/>
      <c r="R7" s="38"/>
      <c r="S7" s="38"/>
      <c r="T7" s="38"/>
      <c r="U7" s="38"/>
      <c r="V7" s="38"/>
      <c r="W7" s="38"/>
      <c r="X7" s="38"/>
      <c r="Y7" s="38"/>
      <c r="Z7" s="38"/>
      <c r="AA7" s="38"/>
      <c r="AB7" s="38"/>
    </row>
    <row r="8" spans="1:34" ht="51" x14ac:dyDescent="0.25">
      <c r="A8" s="38"/>
      <c r="B8" s="11" t="s">
        <v>42</v>
      </c>
      <c r="C8" s="12" t="s">
        <v>92</v>
      </c>
      <c r="D8" s="13">
        <v>0.2</v>
      </c>
      <c r="E8" s="38"/>
      <c r="F8" s="38"/>
      <c r="G8" s="38"/>
      <c r="H8" s="38"/>
      <c r="I8" s="38"/>
      <c r="J8" s="38"/>
      <c r="K8" s="38"/>
      <c r="L8" s="38"/>
      <c r="M8" s="38"/>
      <c r="N8" s="38"/>
      <c r="O8" s="38"/>
      <c r="P8" s="38"/>
      <c r="Q8" s="38"/>
      <c r="R8" s="38"/>
      <c r="S8" s="38"/>
      <c r="T8" s="38"/>
      <c r="U8" s="38"/>
      <c r="V8" s="38"/>
      <c r="W8" s="38"/>
      <c r="X8" s="38"/>
      <c r="Y8" s="38"/>
      <c r="Z8" s="38"/>
      <c r="AA8" s="38"/>
      <c r="AB8" s="38"/>
    </row>
    <row r="9" spans="1:34" ht="51" x14ac:dyDescent="0.25">
      <c r="A9" s="38"/>
      <c r="B9" s="14" t="s">
        <v>44</v>
      </c>
      <c r="C9" s="15" t="s">
        <v>93</v>
      </c>
      <c r="D9" s="16">
        <v>0.4</v>
      </c>
      <c r="E9" s="38"/>
      <c r="F9" s="38"/>
      <c r="G9" s="38"/>
      <c r="H9" s="38"/>
      <c r="I9" s="38"/>
      <c r="J9" s="38"/>
      <c r="K9" s="38"/>
      <c r="L9" s="38"/>
      <c r="M9" s="38"/>
      <c r="N9" s="38"/>
      <c r="O9" s="38"/>
      <c r="P9" s="38"/>
      <c r="Q9" s="38"/>
      <c r="R9" s="38"/>
      <c r="S9" s="38"/>
      <c r="T9" s="38"/>
      <c r="U9" s="38"/>
      <c r="V9" s="38"/>
      <c r="W9" s="38"/>
      <c r="X9" s="38"/>
      <c r="Y9" s="38"/>
      <c r="Z9" s="38"/>
      <c r="AA9" s="38"/>
      <c r="AB9" s="38"/>
    </row>
    <row r="10" spans="1:34" ht="51" x14ac:dyDescent="0.25">
      <c r="A10" s="38"/>
      <c r="B10" s="17" t="s">
        <v>97</v>
      </c>
      <c r="C10" s="15" t="s">
        <v>94</v>
      </c>
      <c r="D10" s="16">
        <v>0.6</v>
      </c>
      <c r="E10" s="38"/>
      <c r="F10" s="38"/>
      <c r="G10" s="38"/>
      <c r="H10" s="38"/>
      <c r="I10" s="38"/>
      <c r="J10" s="38"/>
      <c r="K10" s="38"/>
      <c r="L10" s="38"/>
      <c r="M10" s="38"/>
      <c r="N10" s="38"/>
      <c r="O10" s="38"/>
      <c r="P10" s="38"/>
      <c r="Q10" s="38"/>
      <c r="R10" s="38"/>
      <c r="S10" s="38"/>
      <c r="T10" s="38"/>
      <c r="U10" s="38"/>
      <c r="V10" s="38"/>
      <c r="W10" s="38"/>
      <c r="X10" s="38"/>
      <c r="Y10" s="38"/>
      <c r="Z10" s="38"/>
      <c r="AA10" s="38"/>
      <c r="AB10" s="38"/>
    </row>
    <row r="11" spans="1:34" ht="76.5" x14ac:dyDescent="0.25">
      <c r="A11" s="38"/>
      <c r="B11" s="18" t="s">
        <v>6</v>
      </c>
      <c r="C11" s="15" t="s">
        <v>95</v>
      </c>
      <c r="D11" s="16">
        <v>0.8</v>
      </c>
      <c r="E11" s="38"/>
      <c r="F11" s="38"/>
      <c r="G11" s="38"/>
      <c r="H11" s="38"/>
      <c r="I11" s="38"/>
      <c r="J11" s="38"/>
      <c r="K11" s="38"/>
      <c r="L11" s="38"/>
      <c r="M11" s="38"/>
      <c r="N11" s="38"/>
      <c r="O11" s="38"/>
      <c r="P11" s="38"/>
      <c r="Q11" s="38"/>
      <c r="R11" s="38"/>
      <c r="S11" s="38"/>
      <c r="T11" s="38"/>
      <c r="U11" s="38"/>
      <c r="V11" s="38"/>
      <c r="W11" s="38"/>
      <c r="X11" s="38"/>
      <c r="Y11" s="38"/>
      <c r="Z11" s="38"/>
      <c r="AA11" s="38"/>
      <c r="AB11" s="38"/>
    </row>
    <row r="12" spans="1:34" ht="51" x14ac:dyDescent="0.25">
      <c r="A12" s="38"/>
      <c r="B12" s="19" t="s">
        <v>45</v>
      </c>
      <c r="C12" s="15" t="s">
        <v>96</v>
      </c>
      <c r="D12" s="16">
        <v>1</v>
      </c>
      <c r="E12" s="38"/>
      <c r="F12" s="38"/>
      <c r="G12" s="38"/>
      <c r="H12" s="38"/>
      <c r="I12" s="38"/>
      <c r="J12" s="38"/>
      <c r="K12" s="38"/>
      <c r="L12" s="38"/>
      <c r="M12" s="38"/>
      <c r="N12" s="38"/>
      <c r="O12" s="38"/>
      <c r="P12" s="38"/>
      <c r="Q12" s="38"/>
      <c r="R12" s="38"/>
      <c r="S12" s="38"/>
      <c r="T12" s="38"/>
      <c r="U12" s="38"/>
      <c r="V12" s="38"/>
      <c r="W12" s="38"/>
      <c r="X12" s="38"/>
      <c r="Y12" s="38"/>
      <c r="Z12" s="38"/>
      <c r="AA12" s="38"/>
      <c r="AB12" s="38"/>
    </row>
    <row r="13" spans="1:34" x14ac:dyDescent="0.25">
      <c r="A13" s="38"/>
      <c r="B13" s="62"/>
      <c r="C13" s="62"/>
      <c r="D13" s="62"/>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4" ht="16.5" x14ac:dyDescent="0.25">
      <c r="A14" s="38"/>
      <c r="B14" s="63"/>
      <c r="C14" s="62"/>
      <c r="D14" s="62"/>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row>
    <row r="15" spans="1:34" x14ac:dyDescent="0.25">
      <c r="A15" s="38"/>
      <c r="B15" s="62"/>
      <c r="C15" s="62"/>
      <c r="D15" s="62"/>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x14ac:dyDescent="0.25">
      <c r="A16" s="38"/>
      <c r="B16" s="62"/>
      <c r="C16" s="62"/>
      <c r="D16" s="62"/>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row>
    <row r="17" spans="1:34" x14ac:dyDescent="0.25">
      <c r="A17" s="38"/>
      <c r="B17" s="62"/>
      <c r="C17" s="62"/>
      <c r="D17" s="62"/>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row>
    <row r="18" spans="1:34" x14ac:dyDescent="0.25">
      <c r="A18" s="38"/>
      <c r="B18" s="62"/>
      <c r="C18" s="62"/>
      <c r="D18" s="62"/>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row r="19" spans="1:34" x14ac:dyDescent="0.25">
      <c r="A19" s="38"/>
      <c r="B19" s="62"/>
      <c r="C19" s="62"/>
      <c r="D19" s="62"/>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row>
    <row r="20" spans="1:34" x14ac:dyDescent="0.25">
      <c r="A20" s="38"/>
      <c r="B20" s="62"/>
      <c r="C20" s="62"/>
      <c r="D20" s="62"/>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row>
    <row r="21" spans="1:34" x14ac:dyDescent="0.25">
      <c r="A21" s="38"/>
      <c r="B21" s="62"/>
      <c r="C21" s="62"/>
      <c r="D21" s="62"/>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1:34" x14ac:dyDescent="0.25">
      <c r="A22" s="38"/>
      <c r="B22" s="62"/>
      <c r="C22" s="62"/>
      <c r="D22" s="62"/>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row>
    <row r="23" spans="1:34"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row>
    <row r="24" spans="1:34" x14ac:dyDescent="0.2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row>
    <row r="25" spans="1:34" x14ac:dyDescent="0.2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row>
    <row r="26" spans="1:34" x14ac:dyDescent="0.2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row>
    <row r="27" spans="1:34" x14ac:dyDescent="0.2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row>
    <row r="28" spans="1:34" x14ac:dyDescent="0.2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row>
    <row r="29" spans="1:34" x14ac:dyDescent="0.2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row>
    <row r="30" spans="1:34" x14ac:dyDescent="0.2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row>
    <row r="31" spans="1:34" x14ac:dyDescent="0.2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row>
    <row r="32" spans="1:34" x14ac:dyDescent="0.2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row>
    <row r="33" spans="1:34" x14ac:dyDescent="0.2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4" x14ac:dyDescent="0.2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row>
    <row r="35" spans="1:34" x14ac:dyDescent="0.2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row>
    <row r="36" spans="1:34" x14ac:dyDescent="0.2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row>
    <row r="37" spans="1:34" x14ac:dyDescent="0.25">
      <c r="A37" s="38"/>
      <c r="E37" s="38"/>
      <c r="F37" s="38"/>
      <c r="G37" s="38"/>
      <c r="H37" s="38"/>
      <c r="I37" s="38"/>
      <c r="J37" s="38"/>
      <c r="K37" s="38"/>
      <c r="L37" s="38"/>
      <c r="M37" s="38"/>
      <c r="N37" s="38"/>
      <c r="O37" s="38"/>
      <c r="P37" s="38"/>
      <c r="Q37" s="38"/>
      <c r="R37" s="38"/>
      <c r="S37" s="38"/>
      <c r="T37" s="38"/>
      <c r="U37" s="38"/>
      <c r="V37" s="38"/>
      <c r="W37" s="38"/>
      <c r="X37" s="38"/>
      <c r="Y37" s="38"/>
      <c r="Z37" s="38"/>
      <c r="AA37" s="38"/>
      <c r="AB37" s="38"/>
    </row>
    <row r="38" spans="1:34" x14ac:dyDescent="0.25">
      <c r="A38" s="38"/>
      <c r="E38" s="38"/>
      <c r="F38" s="38"/>
      <c r="G38" s="38"/>
      <c r="H38" s="38"/>
      <c r="I38" s="38"/>
      <c r="J38" s="38"/>
      <c r="K38" s="38"/>
      <c r="L38" s="38"/>
      <c r="M38" s="38"/>
      <c r="N38" s="38"/>
      <c r="O38" s="38"/>
      <c r="P38" s="38"/>
      <c r="Q38" s="38"/>
      <c r="R38" s="38"/>
      <c r="S38" s="38"/>
      <c r="T38" s="38"/>
      <c r="U38" s="38"/>
      <c r="V38" s="38"/>
      <c r="W38" s="38"/>
      <c r="X38" s="38"/>
      <c r="Y38" s="38"/>
      <c r="Z38" s="38"/>
      <c r="AA38" s="38"/>
      <c r="AB38" s="38"/>
    </row>
    <row r="39" spans="1:34" x14ac:dyDescent="0.25">
      <c r="A39" s="38"/>
    </row>
    <row r="40" spans="1:34" x14ac:dyDescent="0.25">
      <c r="A40" s="38"/>
    </row>
    <row r="41" spans="1:34" x14ac:dyDescent="0.25">
      <c r="A41" s="38"/>
    </row>
    <row r="42" spans="1:34" x14ac:dyDescent="0.25">
      <c r="A42" s="38"/>
    </row>
    <row r="43" spans="1:34" x14ac:dyDescent="0.25">
      <c r="A43" s="38"/>
    </row>
    <row r="44" spans="1:34" x14ac:dyDescent="0.25">
      <c r="A44" s="38"/>
    </row>
    <row r="45" spans="1:34" x14ac:dyDescent="0.25">
      <c r="A45" s="38"/>
    </row>
    <row r="46" spans="1:34" x14ac:dyDescent="0.25">
      <c r="A46" s="38"/>
    </row>
    <row r="47" spans="1:34" x14ac:dyDescent="0.25">
      <c r="A47" s="38"/>
    </row>
    <row r="48" spans="1:34" x14ac:dyDescent="0.25">
      <c r="A48" s="38"/>
    </row>
    <row r="49" spans="1:1" x14ac:dyDescent="0.25">
      <c r="A49" s="38"/>
    </row>
    <row r="50" spans="1:1" x14ac:dyDescent="0.25">
      <c r="A50" s="38"/>
    </row>
    <row r="51" spans="1:1" x14ac:dyDescent="0.25">
      <c r="A51" s="38"/>
    </row>
    <row r="52" spans="1:1" x14ac:dyDescent="0.25">
      <c r="A52" s="38"/>
    </row>
    <row r="53" spans="1:1" x14ac:dyDescent="0.25">
      <c r="A53" s="38"/>
    </row>
    <row r="54" spans="1:1" x14ac:dyDescent="0.25">
      <c r="A54" s="38"/>
    </row>
    <row r="55" spans="1:1" x14ac:dyDescent="0.25">
      <c r="A55" s="38"/>
    </row>
    <row r="56" spans="1:1" x14ac:dyDescent="0.25">
      <c r="A56" s="38"/>
    </row>
    <row r="57" spans="1:1" x14ac:dyDescent="0.25">
      <c r="A57" s="38"/>
    </row>
    <row r="58" spans="1:1" x14ac:dyDescent="0.25">
      <c r="A58" s="38"/>
    </row>
    <row r="59" spans="1:1" x14ac:dyDescent="0.25">
      <c r="A59" s="38"/>
    </row>
  </sheetData>
  <sheetProtection algorithmName="SHA-512" hashValue="9r/N2ReyaWY7u9ojQYVAGiBeuzQC9Hvz+fU6ZB1enX8i48XXjUg6nGufXixGG3TWWcRlChb7B3FFUbXKFPGhRA==" saltValue="lDGZr+P4gep2rXOysbC+/A==" spinCount="100000" sheet="1" objects="1" scenarios="1"/>
  <mergeCells count="3">
    <mergeCell ref="B5:D5"/>
    <mergeCell ref="B2:B3"/>
    <mergeCell ref="D2:D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theme="6" tint="-0.249977111117893"/>
  </sheetPr>
  <dimension ref="A2:U236"/>
  <sheetViews>
    <sheetView topLeftCell="A211" zoomScale="60" zoomScaleNormal="60" workbookViewId="0">
      <selection activeCell="B13" sqref="B13"/>
    </sheetView>
  </sheetViews>
  <sheetFormatPr baseColWidth="10" defaultRowHeight="15" x14ac:dyDescent="0.25"/>
  <cols>
    <col min="2" max="2" width="40.42578125" customWidth="1"/>
    <col min="3" max="3" width="66.28515625" customWidth="1"/>
    <col min="4" max="4" width="94" customWidth="1"/>
    <col min="5" max="5" width="45" customWidth="1"/>
  </cols>
  <sheetData>
    <row r="2" spans="1:21" s="38" customFormat="1" ht="42.75" customHeight="1" x14ac:dyDescent="0.25">
      <c r="B2" s="374"/>
      <c r="C2" s="370" t="s">
        <v>191</v>
      </c>
      <c r="D2" s="370"/>
      <c r="E2" s="375" t="s">
        <v>227</v>
      </c>
    </row>
    <row r="3" spans="1:21" s="38" customFormat="1" ht="42.75" customHeight="1" x14ac:dyDescent="0.25">
      <c r="B3" s="374"/>
      <c r="C3" s="371" t="s">
        <v>192</v>
      </c>
      <c r="D3" s="371"/>
      <c r="E3" s="376"/>
    </row>
    <row r="4" spans="1:21" s="38" customFormat="1" ht="18" customHeight="1" x14ac:dyDescent="0.25">
      <c r="B4" s="79"/>
      <c r="C4" s="80"/>
      <c r="D4" s="80"/>
      <c r="E4" s="81"/>
    </row>
    <row r="5" spans="1:21" ht="33.75" x14ac:dyDescent="0.25">
      <c r="A5" s="38"/>
      <c r="B5" s="373" t="s">
        <v>54</v>
      </c>
      <c r="C5" s="373"/>
      <c r="D5" s="373"/>
      <c r="E5" s="38"/>
      <c r="F5" s="38"/>
      <c r="G5" s="38"/>
      <c r="H5" s="38"/>
      <c r="I5" s="38"/>
      <c r="J5" s="38"/>
      <c r="K5" s="38"/>
      <c r="L5" s="38"/>
      <c r="M5" s="38"/>
      <c r="N5" s="38"/>
      <c r="O5" s="38"/>
      <c r="P5" s="38"/>
      <c r="Q5" s="38"/>
      <c r="R5" s="38"/>
      <c r="S5" s="38"/>
      <c r="T5" s="38"/>
      <c r="U5" s="38"/>
    </row>
    <row r="6" spans="1:21" x14ac:dyDescent="0.25">
      <c r="A6" s="38"/>
      <c r="B6" s="38"/>
      <c r="C6" s="38"/>
      <c r="D6" s="38"/>
      <c r="E6" s="38"/>
      <c r="F6" s="38"/>
      <c r="G6" s="38"/>
      <c r="H6" s="38"/>
      <c r="I6" s="38"/>
      <c r="J6" s="38"/>
      <c r="K6" s="38"/>
      <c r="L6" s="38"/>
      <c r="M6" s="38"/>
      <c r="N6" s="38"/>
      <c r="O6" s="38"/>
      <c r="P6" s="38"/>
      <c r="Q6" s="38"/>
      <c r="R6" s="38"/>
      <c r="S6" s="38"/>
      <c r="T6" s="38"/>
      <c r="U6" s="38"/>
    </row>
    <row r="7" spans="1:21" ht="60" x14ac:dyDescent="0.25">
      <c r="A7" s="38"/>
      <c r="B7" s="59"/>
      <c r="C7" s="30" t="s">
        <v>47</v>
      </c>
      <c r="D7" s="372" t="s">
        <v>48</v>
      </c>
      <c r="E7" s="372"/>
      <c r="F7" s="38"/>
      <c r="G7" s="38"/>
      <c r="H7" s="38"/>
      <c r="I7" s="38"/>
      <c r="J7" s="38"/>
      <c r="K7" s="38"/>
      <c r="L7" s="38"/>
      <c r="M7" s="38"/>
      <c r="N7" s="38"/>
      <c r="O7" s="38"/>
      <c r="P7" s="38"/>
      <c r="Q7" s="38"/>
      <c r="R7" s="38"/>
      <c r="S7" s="38"/>
      <c r="T7" s="38"/>
      <c r="U7" s="38"/>
    </row>
    <row r="8" spans="1:21" ht="56.25" customHeight="1" x14ac:dyDescent="0.25">
      <c r="A8" s="58" t="s">
        <v>74</v>
      </c>
      <c r="B8" s="31" t="s">
        <v>91</v>
      </c>
      <c r="C8" s="36" t="s">
        <v>143</v>
      </c>
      <c r="D8" s="368" t="s">
        <v>87</v>
      </c>
      <c r="E8" s="369"/>
      <c r="F8" s="38"/>
      <c r="G8" s="38"/>
      <c r="H8" s="38"/>
      <c r="I8" s="38"/>
      <c r="J8" s="38"/>
      <c r="K8" s="38"/>
      <c r="L8" s="38"/>
      <c r="M8" s="38"/>
      <c r="N8" s="38"/>
      <c r="O8" s="38"/>
      <c r="P8" s="38"/>
      <c r="Q8" s="38"/>
      <c r="R8" s="38"/>
      <c r="S8" s="38"/>
      <c r="T8" s="38"/>
      <c r="U8" s="38"/>
    </row>
    <row r="9" spans="1:21" ht="67.5" customHeight="1" x14ac:dyDescent="0.25">
      <c r="A9" s="58" t="s">
        <v>75</v>
      </c>
      <c r="B9" s="32" t="s">
        <v>50</v>
      </c>
      <c r="C9" s="37" t="s">
        <v>83</v>
      </c>
      <c r="D9" s="368" t="s">
        <v>88</v>
      </c>
      <c r="E9" s="369"/>
      <c r="F9" s="38"/>
      <c r="G9" s="38"/>
      <c r="H9" s="38"/>
      <c r="I9" s="38"/>
      <c r="J9" s="38"/>
      <c r="K9" s="38"/>
      <c r="L9" s="38"/>
      <c r="M9" s="38"/>
      <c r="N9" s="38"/>
      <c r="O9" s="38"/>
      <c r="P9" s="38"/>
      <c r="Q9" s="38"/>
      <c r="R9" s="38"/>
      <c r="S9" s="38"/>
      <c r="T9" s="38"/>
      <c r="U9" s="38"/>
    </row>
    <row r="10" spans="1:21" ht="67.5" customHeight="1" x14ac:dyDescent="0.25">
      <c r="A10" s="58" t="s">
        <v>72</v>
      </c>
      <c r="B10" s="33" t="s">
        <v>51</v>
      </c>
      <c r="C10" s="37" t="s">
        <v>84</v>
      </c>
      <c r="D10" s="368" t="s">
        <v>90</v>
      </c>
      <c r="E10" s="369"/>
      <c r="F10" s="38"/>
      <c r="G10" s="38"/>
      <c r="H10" s="38"/>
      <c r="I10" s="38"/>
      <c r="J10" s="38"/>
      <c r="K10" s="38"/>
      <c r="L10" s="38"/>
      <c r="M10" s="38"/>
      <c r="N10" s="38"/>
      <c r="O10" s="38"/>
      <c r="P10" s="38"/>
      <c r="Q10" s="38"/>
      <c r="R10" s="38"/>
      <c r="S10" s="38"/>
      <c r="T10" s="38"/>
      <c r="U10" s="38"/>
    </row>
    <row r="11" spans="1:21" ht="101.25" customHeight="1" x14ac:dyDescent="0.25">
      <c r="A11" s="58" t="s">
        <v>7</v>
      </c>
      <c r="B11" s="34" t="s">
        <v>52</v>
      </c>
      <c r="C11" s="37" t="s">
        <v>85</v>
      </c>
      <c r="D11" s="368" t="s">
        <v>89</v>
      </c>
      <c r="E11" s="369"/>
      <c r="F11" s="38"/>
      <c r="G11" s="38"/>
      <c r="H11" s="38"/>
      <c r="I11" s="38"/>
      <c r="J11" s="38"/>
      <c r="K11" s="38"/>
      <c r="L11" s="38"/>
      <c r="M11" s="38"/>
      <c r="N11" s="38"/>
      <c r="O11" s="38"/>
      <c r="P11" s="38"/>
      <c r="Q11" s="38"/>
      <c r="R11" s="38"/>
      <c r="S11" s="38"/>
      <c r="T11" s="38"/>
      <c r="U11" s="38"/>
    </row>
    <row r="12" spans="1:21" ht="67.5" customHeight="1" x14ac:dyDescent="0.25">
      <c r="A12" s="58" t="s">
        <v>76</v>
      </c>
      <c r="B12" s="35" t="s">
        <v>53</v>
      </c>
      <c r="C12" s="37" t="s">
        <v>86</v>
      </c>
      <c r="D12" s="368" t="s">
        <v>108</v>
      </c>
      <c r="E12" s="369"/>
      <c r="F12" s="38"/>
      <c r="G12" s="38"/>
      <c r="H12" s="38"/>
      <c r="I12" s="38"/>
      <c r="J12" s="38"/>
      <c r="K12" s="38"/>
      <c r="L12" s="38"/>
      <c r="M12" s="38"/>
      <c r="N12" s="38"/>
      <c r="O12" s="38"/>
      <c r="P12" s="38"/>
      <c r="Q12" s="38"/>
      <c r="R12" s="38"/>
      <c r="S12" s="38"/>
      <c r="T12" s="38"/>
      <c r="U12" s="38"/>
    </row>
    <row r="13" spans="1:21" ht="20.25" x14ac:dyDescent="0.25">
      <c r="A13" s="58"/>
      <c r="B13" s="58"/>
      <c r="C13" s="60"/>
      <c r="D13" s="60"/>
      <c r="E13" s="38"/>
      <c r="F13" s="38"/>
      <c r="G13" s="38"/>
      <c r="H13" s="38"/>
      <c r="I13" s="38"/>
      <c r="J13" s="38"/>
      <c r="K13" s="38"/>
      <c r="L13" s="38"/>
      <c r="M13" s="38"/>
      <c r="N13" s="38"/>
      <c r="O13" s="38"/>
      <c r="P13" s="38"/>
      <c r="Q13" s="38"/>
      <c r="R13" s="38"/>
      <c r="S13" s="38"/>
      <c r="T13" s="38"/>
      <c r="U13" s="38"/>
    </row>
    <row r="14" spans="1:21" ht="16.5" x14ac:dyDescent="0.25">
      <c r="A14" s="58"/>
      <c r="B14" s="61"/>
      <c r="C14" s="61"/>
      <c r="D14" s="61"/>
      <c r="E14" s="38"/>
      <c r="F14" s="38"/>
      <c r="G14" s="38"/>
      <c r="H14" s="38"/>
      <c r="I14" s="38"/>
      <c r="J14" s="38"/>
      <c r="K14" s="38"/>
      <c r="L14" s="38"/>
      <c r="M14" s="38"/>
      <c r="N14" s="38"/>
      <c r="O14" s="38"/>
      <c r="P14" s="38"/>
      <c r="Q14" s="38"/>
      <c r="R14" s="38"/>
      <c r="S14" s="38"/>
      <c r="T14" s="38"/>
      <c r="U14" s="38"/>
    </row>
    <row r="15" spans="1:21" x14ac:dyDescent="0.25">
      <c r="A15" s="58"/>
      <c r="B15" s="58" t="s">
        <v>81</v>
      </c>
      <c r="C15" s="58" t="s">
        <v>131</v>
      </c>
      <c r="D15" s="58" t="s">
        <v>138</v>
      </c>
      <c r="E15" s="38"/>
      <c r="F15" s="38"/>
      <c r="G15" s="38"/>
      <c r="H15" s="38"/>
      <c r="I15" s="38"/>
      <c r="J15" s="38"/>
      <c r="K15" s="38"/>
      <c r="L15" s="38"/>
      <c r="M15" s="38"/>
      <c r="N15" s="38"/>
      <c r="O15" s="38"/>
      <c r="P15" s="38"/>
      <c r="Q15" s="38"/>
      <c r="R15" s="38"/>
      <c r="S15" s="38"/>
      <c r="T15" s="38"/>
      <c r="U15" s="38"/>
    </row>
    <row r="16" spans="1:21" x14ac:dyDescent="0.25">
      <c r="A16" s="58"/>
      <c r="B16" s="58" t="s">
        <v>79</v>
      </c>
      <c r="C16" s="58" t="s">
        <v>135</v>
      </c>
      <c r="D16" s="58" t="s">
        <v>139</v>
      </c>
      <c r="E16" s="38"/>
      <c r="F16" s="38"/>
      <c r="G16" s="38"/>
      <c r="H16" s="38"/>
      <c r="I16" s="38"/>
      <c r="J16" s="38"/>
      <c r="K16" s="38"/>
      <c r="L16" s="38"/>
      <c r="M16" s="38"/>
      <c r="N16" s="38"/>
      <c r="O16" s="38"/>
      <c r="P16" s="38"/>
      <c r="Q16" s="38"/>
      <c r="R16" s="38"/>
      <c r="S16" s="38"/>
      <c r="T16" s="38"/>
      <c r="U16" s="38"/>
    </row>
    <row r="17" spans="1:21" x14ac:dyDescent="0.25">
      <c r="A17" s="58"/>
      <c r="B17" s="58"/>
      <c r="C17" s="58" t="s">
        <v>134</v>
      </c>
      <c r="D17" s="58" t="s">
        <v>140</v>
      </c>
      <c r="E17" s="38"/>
      <c r="F17" s="38"/>
      <c r="G17" s="38"/>
      <c r="H17" s="38"/>
      <c r="I17" s="38"/>
      <c r="J17" s="38"/>
      <c r="K17" s="38"/>
      <c r="L17" s="38"/>
      <c r="M17" s="38"/>
      <c r="N17" s="38"/>
      <c r="O17" s="38"/>
      <c r="P17" s="38"/>
      <c r="Q17" s="38"/>
      <c r="R17" s="38"/>
      <c r="S17" s="38"/>
      <c r="T17" s="38"/>
      <c r="U17" s="38"/>
    </row>
    <row r="18" spans="1:21" x14ac:dyDescent="0.25">
      <c r="A18" s="58"/>
      <c r="B18" s="58"/>
      <c r="C18" s="58" t="s">
        <v>136</v>
      </c>
      <c r="D18" s="58" t="s">
        <v>141</v>
      </c>
      <c r="E18" s="38"/>
      <c r="F18" s="38"/>
      <c r="G18" s="38"/>
      <c r="H18" s="38"/>
      <c r="I18" s="38"/>
      <c r="J18" s="38"/>
      <c r="K18" s="38"/>
      <c r="L18" s="38"/>
      <c r="M18" s="38"/>
      <c r="N18" s="38"/>
      <c r="O18" s="38"/>
      <c r="P18" s="38"/>
      <c r="Q18" s="38"/>
      <c r="R18" s="38"/>
      <c r="S18" s="38"/>
      <c r="T18" s="38"/>
      <c r="U18" s="38"/>
    </row>
    <row r="19" spans="1:21" x14ac:dyDescent="0.25">
      <c r="A19" s="58"/>
      <c r="B19" s="58"/>
      <c r="C19" s="58" t="s">
        <v>137</v>
      </c>
      <c r="D19" s="58" t="s">
        <v>142</v>
      </c>
      <c r="E19" s="38"/>
      <c r="F19" s="38"/>
      <c r="G19" s="38"/>
      <c r="H19" s="38"/>
      <c r="I19" s="38"/>
      <c r="J19" s="38"/>
      <c r="K19" s="38"/>
      <c r="L19" s="38"/>
      <c r="M19" s="38"/>
      <c r="N19" s="38"/>
      <c r="O19" s="38"/>
      <c r="P19" s="38"/>
      <c r="Q19" s="38"/>
      <c r="R19" s="38"/>
      <c r="S19" s="38"/>
      <c r="T19" s="38"/>
      <c r="U19" s="38"/>
    </row>
    <row r="20" spans="1:21" x14ac:dyDescent="0.25">
      <c r="A20" s="58"/>
      <c r="B20" s="58"/>
      <c r="C20" s="58"/>
      <c r="D20" s="58"/>
      <c r="E20" s="38"/>
      <c r="F20" s="38"/>
      <c r="G20" s="38"/>
      <c r="H20" s="38"/>
      <c r="I20" s="38"/>
      <c r="J20" s="38"/>
      <c r="K20" s="38"/>
      <c r="L20" s="38"/>
      <c r="M20" s="38"/>
      <c r="N20" s="38"/>
      <c r="O20" s="38"/>
    </row>
    <row r="21" spans="1:21" x14ac:dyDescent="0.25">
      <c r="A21" s="58"/>
      <c r="B21" s="58"/>
      <c r="C21" s="58"/>
      <c r="D21" s="58"/>
      <c r="E21" s="38"/>
      <c r="F21" s="38"/>
      <c r="G21" s="38"/>
      <c r="H21" s="38"/>
      <c r="I21" s="38"/>
      <c r="J21" s="38"/>
      <c r="K21" s="38"/>
      <c r="L21" s="38"/>
      <c r="M21" s="38"/>
      <c r="N21" s="38"/>
      <c r="O21" s="38"/>
    </row>
    <row r="22" spans="1:21" x14ac:dyDescent="0.25">
      <c r="A22" s="58"/>
      <c r="B22" s="62"/>
      <c r="C22" s="62"/>
      <c r="D22" s="62"/>
      <c r="E22" s="38"/>
      <c r="F22" s="38"/>
      <c r="G22" s="38"/>
      <c r="H22" s="38"/>
      <c r="I22" s="38"/>
      <c r="J22" s="38"/>
      <c r="K22" s="38"/>
      <c r="L22" s="38"/>
      <c r="M22" s="38"/>
      <c r="N22" s="38"/>
      <c r="O22" s="38"/>
    </row>
    <row r="23" spans="1:21" x14ac:dyDescent="0.25">
      <c r="A23" s="58"/>
      <c r="B23" s="62"/>
      <c r="C23" s="62"/>
      <c r="D23" s="62"/>
      <c r="E23" s="38"/>
      <c r="F23" s="38"/>
      <c r="G23" s="38"/>
      <c r="H23" s="38"/>
      <c r="I23" s="38"/>
      <c r="J23" s="38"/>
      <c r="K23" s="38"/>
      <c r="L23" s="38"/>
      <c r="M23" s="38"/>
      <c r="N23" s="38"/>
      <c r="O23" s="38"/>
    </row>
    <row r="24" spans="1:21" x14ac:dyDescent="0.25">
      <c r="A24" s="58"/>
      <c r="B24" s="62"/>
      <c r="C24" s="62"/>
      <c r="D24" s="62"/>
      <c r="E24" s="38"/>
      <c r="F24" s="38"/>
      <c r="G24" s="38"/>
      <c r="H24" s="38"/>
      <c r="I24" s="38"/>
      <c r="J24" s="38"/>
      <c r="K24" s="38"/>
      <c r="L24" s="38"/>
      <c r="M24" s="38"/>
      <c r="N24" s="38"/>
      <c r="O24" s="38"/>
    </row>
    <row r="25" spans="1:21" x14ac:dyDescent="0.25">
      <c r="A25" s="58"/>
      <c r="B25" s="62"/>
      <c r="C25" s="62"/>
      <c r="D25" s="62"/>
      <c r="E25" s="38"/>
      <c r="F25" s="38"/>
      <c r="G25" s="38"/>
      <c r="H25" s="38"/>
      <c r="I25" s="38"/>
      <c r="J25" s="38"/>
      <c r="K25" s="38"/>
      <c r="L25" s="38"/>
      <c r="M25" s="38"/>
      <c r="N25" s="38"/>
      <c r="O25" s="38"/>
    </row>
    <row r="26" spans="1:21" ht="20.25" x14ac:dyDescent="0.25">
      <c r="A26" s="58"/>
      <c r="B26" s="58"/>
      <c r="C26" s="60"/>
      <c r="D26" s="60"/>
      <c r="E26" s="38"/>
      <c r="F26" s="38"/>
      <c r="G26" s="38"/>
      <c r="H26" s="38"/>
      <c r="I26" s="38"/>
      <c r="J26" s="38"/>
      <c r="K26" s="38"/>
      <c r="L26" s="38"/>
      <c r="M26" s="38"/>
      <c r="N26" s="38"/>
      <c r="O26" s="38"/>
    </row>
    <row r="27" spans="1:21" ht="20.25" x14ac:dyDescent="0.25">
      <c r="A27" s="58"/>
      <c r="B27" s="58"/>
      <c r="C27" s="60"/>
      <c r="D27" s="60"/>
      <c r="E27" s="38"/>
      <c r="F27" s="38"/>
      <c r="G27" s="38"/>
      <c r="H27" s="38"/>
      <c r="I27" s="38"/>
      <c r="J27" s="38"/>
      <c r="K27" s="38"/>
      <c r="L27" s="38"/>
      <c r="M27" s="38"/>
      <c r="N27" s="38"/>
      <c r="O27" s="38"/>
    </row>
    <row r="28" spans="1:21" ht="20.25" x14ac:dyDescent="0.25">
      <c r="A28" s="58"/>
      <c r="B28" s="58"/>
      <c r="C28" s="60"/>
      <c r="D28" s="60"/>
      <c r="E28" s="38"/>
      <c r="F28" s="38"/>
      <c r="G28" s="38"/>
      <c r="H28" s="38"/>
      <c r="I28" s="38"/>
      <c r="J28" s="38"/>
      <c r="K28" s="38"/>
      <c r="L28" s="38"/>
      <c r="M28" s="38"/>
      <c r="N28" s="38"/>
      <c r="O28" s="38"/>
    </row>
    <row r="29" spans="1:21" ht="20.25" x14ac:dyDescent="0.25">
      <c r="A29" s="58"/>
      <c r="B29" s="58"/>
      <c r="C29" s="60"/>
      <c r="D29" s="60"/>
      <c r="E29" s="38"/>
      <c r="F29" s="38"/>
      <c r="G29" s="38"/>
      <c r="H29" s="38"/>
      <c r="I29" s="38"/>
      <c r="J29" s="38"/>
      <c r="K29" s="38"/>
      <c r="L29" s="38"/>
      <c r="M29" s="38"/>
      <c r="N29" s="38"/>
      <c r="O29" s="38"/>
    </row>
    <row r="30" spans="1:21" ht="20.25" x14ac:dyDescent="0.25">
      <c r="A30" s="58"/>
      <c r="B30" s="58"/>
      <c r="C30" s="60"/>
      <c r="D30" s="60"/>
      <c r="E30" s="38"/>
      <c r="F30" s="38"/>
      <c r="G30" s="38"/>
      <c r="H30" s="38"/>
      <c r="I30" s="38"/>
      <c r="J30" s="38"/>
      <c r="K30" s="38"/>
      <c r="L30" s="38"/>
      <c r="M30" s="38"/>
      <c r="N30" s="38"/>
      <c r="O30" s="38"/>
    </row>
    <row r="31" spans="1:21" ht="20.25" x14ac:dyDescent="0.25">
      <c r="A31" s="58"/>
      <c r="B31" s="58"/>
      <c r="C31" s="60"/>
      <c r="D31" s="60"/>
      <c r="E31" s="38"/>
      <c r="F31" s="38"/>
      <c r="G31" s="38"/>
      <c r="H31" s="38"/>
      <c r="I31" s="38"/>
      <c r="J31" s="38"/>
      <c r="K31" s="38"/>
      <c r="L31" s="38"/>
      <c r="M31" s="38"/>
      <c r="N31" s="38"/>
      <c r="O31" s="38"/>
    </row>
    <row r="32" spans="1:21" ht="20.25" x14ac:dyDescent="0.25">
      <c r="A32" s="58"/>
      <c r="B32" s="58"/>
      <c r="C32" s="60"/>
      <c r="D32" s="60"/>
      <c r="E32" s="38"/>
      <c r="F32" s="38"/>
      <c r="G32" s="38"/>
      <c r="H32" s="38"/>
      <c r="I32" s="38"/>
      <c r="J32" s="38"/>
      <c r="K32" s="38"/>
      <c r="L32" s="38"/>
      <c r="M32" s="38"/>
      <c r="N32" s="38"/>
      <c r="O32" s="38"/>
    </row>
    <row r="33" spans="1:15" ht="20.25" x14ac:dyDescent="0.25">
      <c r="A33" s="58"/>
      <c r="B33" s="58"/>
      <c r="C33" s="60"/>
      <c r="D33" s="60"/>
      <c r="E33" s="38"/>
      <c r="F33" s="38"/>
      <c r="G33" s="38"/>
      <c r="H33" s="38"/>
      <c r="I33" s="38"/>
      <c r="J33" s="38"/>
      <c r="K33" s="38"/>
      <c r="L33" s="38"/>
      <c r="M33" s="38"/>
      <c r="N33" s="38"/>
      <c r="O33" s="38"/>
    </row>
    <row r="34" spans="1:15" ht="20.25" x14ac:dyDescent="0.25">
      <c r="A34" s="58"/>
      <c r="B34" s="58"/>
      <c r="C34" s="60"/>
      <c r="D34" s="60"/>
      <c r="E34" s="38"/>
      <c r="F34" s="38"/>
      <c r="G34" s="38"/>
      <c r="H34" s="38"/>
      <c r="I34" s="38"/>
      <c r="J34" s="38"/>
      <c r="K34" s="38"/>
      <c r="L34" s="38"/>
      <c r="M34" s="38"/>
      <c r="N34" s="38"/>
      <c r="O34" s="38"/>
    </row>
    <row r="35" spans="1:15" ht="20.25" x14ac:dyDescent="0.25">
      <c r="A35" s="58"/>
      <c r="B35" s="58"/>
      <c r="C35" s="60"/>
      <c r="D35" s="60"/>
      <c r="E35" s="38"/>
      <c r="F35" s="38"/>
      <c r="G35" s="38"/>
      <c r="H35" s="38"/>
      <c r="I35" s="38"/>
      <c r="J35" s="38"/>
      <c r="K35" s="38"/>
      <c r="L35" s="38"/>
      <c r="M35" s="38"/>
      <c r="N35" s="38"/>
      <c r="O35" s="38"/>
    </row>
    <row r="36" spans="1:15" ht="20.25" x14ac:dyDescent="0.25">
      <c r="A36" s="58"/>
      <c r="B36" s="58"/>
      <c r="C36" s="60"/>
      <c r="D36" s="60"/>
      <c r="E36" s="38"/>
      <c r="F36" s="38"/>
      <c r="G36" s="38"/>
      <c r="H36" s="38"/>
      <c r="I36" s="38"/>
      <c r="J36" s="38"/>
      <c r="K36" s="38"/>
      <c r="L36" s="38"/>
      <c r="M36" s="38"/>
      <c r="N36" s="38"/>
      <c r="O36" s="38"/>
    </row>
    <row r="37" spans="1:15" ht="20.25" x14ac:dyDescent="0.25">
      <c r="A37" s="58"/>
      <c r="B37" s="58"/>
      <c r="C37" s="60"/>
      <c r="D37" s="60"/>
      <c r="E37" s="38"/>
      <c r="F37" s="38"/>
      <c r="G37" s="38"/>
      <c r="H37" s="38"/>
      <c r="I37" s="38"/>
      <c r="J37" s="38"/>
      <c r="K37" s="38"/>
      <c r="L37" s="38"/>
      <c r="M37" s="38"/>
      <c r="N37" s="38"/>
      <c r="O37" s="38"/>
    </row>
    <row r="38" spans="1:15" ht="20.25" x14ac:dyDescent="0.25">
      <c r="A38" s="58"/>
      <c r="B38" s="58"/>
      <c r="C38" s="60"/>
      <c r="D38" s="60"/>
      <c r="E38" s="38"/>
      <c r="F38" s="38"/>
      <c r="G38" s="38"/>
      <c r="H38" s="38"/>
      <c r="I38" s="38"/>
      <c r="J38" s="38"/>
      <c r="K38" s="38"/>
      <c r="L38" s="38"/>
      <c r="M38" s="38"/>
      <c r="N38" s="38"/>
      <c r="O38" s="38"/>
    </row>
    <row r="39" spans="1:15" ht="20.25" x14ac:dyDescent="0.25">
      <c r="A39" s="58"/>
      <c r="B39" s="58"/>
      <c r="C39" s="60"/>
      <c r="D39" s="60"/>
      <c r="E39" s="38"/>
      <c r="F39" s="38"/>
      <c r="G39" s="38"/>
      <c r="H39" s="38"/>
      <c r="I39" s="38"/>
      <c r="J39" s="38"/>
      <c r="K39" s="38"/>
      <c r="L39" s="38"/>
      <c r="M39" s="38"/>
      <c r="N39" s="38"/>
      <c r="O39" s="38"/>
    </row>
    <row r="40" spans="1:15" ht="20.25" x14ac:dyDescent="0.25">
      <c r="A40" s="58"/>
      <c r="B40" s="58"/>
      <c r="C40" s="60"/>
      <c r="D40" s="60"/>
      <c r="E40" s="38"/>
      <c r="F40" s="38"/>
      <c r="G40" s="38"/>
      <c r="H40" s="38"/>
      <c r="I40" s="38"/>
      <c r="J40" s="38"/>
      <c r="K40" s="38"/>
      <c r="L40" s="38"/>
      <c r="M40" s="38"/>
      <c r="N40" s="38"/>
      <c r="O40" s="38"/>
    </row>
    <row r="41" spans="1:15" ht="20.25" x14ac:dyDescent="0.25">
      <c r="A41" s="58"/>
      <c r="B41" s="58"/>
      <c r="C41" s="60"/>
      <c r="D41" s="60"/>
      <c r="E41" s="38"/>
      <c r="F41" s="38"/>
      <c r="G41" s="38"/>
      <c r="H41" s="38"/>
      <c r="I41" s="38"/>
      <c r="J41" s="38"/>
      <c r="K41" s="38"/>
      <c r="L41" s="38"/>
      <c r="M41" s="38"/>
      <c r="N41" s="38"/>
      <c r="O41" s="38"/>
    </row>
    <row r="42" spans="1:15" ht="20.25" x14ac:dyDescent="0.25">
      <c r="A42" s="58"/>
      <c r="B42" s="58"/>
      <c r="C42" s="60"/>
      <c r="D42" s="60"/>
      <c r="E42" s="38"/>
      <c r="F42" s="38"/>
      <c r="G42" s="38"/>
      <c r="H42" s="38"/>
      <c r="I42" s="38"/>
      <c r="J42" s="38"/>
      <c r="K42" s="38"/>
      <c r="L42" s="38"/>
      <c r="M42" s="38"/>
      <c r="N42" s="38"/>
      <c r="O42" s="38"/>
    </row>
    <row r="43" spans="1:15" ht="20.25" x14ac:dyDescent="0.25">
      <c r="A43" s="58"/>
      <c r="B43" s="58"/>
      <c r="C43" s="60"/>
      <c r="D43" s="60"/>
      <c r="E43" s="38"/>
      <c r="F43" s="38"/>
      <c r="G43" s="38"/>
      <c r="H43" s="38"/>
      <c r="I43" s="38"/>
      <c r="J43" s="38"/>
      <c r="K43" s="38"/>
      <c r="L43" s="38"/>
      <c r="M43" s="38"/>
      <c r="N43" s="38"/>
      <c r="O43" s="38"/>
    </row>
    <row r="44" spans="1:15" ht="20.25" x14ac:dyDescent="0.25">
      <c r="A44" s="58"/>
      <c r="B44" s="58"/>
      <c r="C44" s="60"/>
      <c r="D44" s="60"/>
      <c r="E44" s="38"/>
      <c r="F44" s="38"/>
      <c r="G44" s="38"/>
      <c r="H44" s="38"/>
      <c r="I44" s="38"/>
      <c r="J44" s="38"/>
      <c r="K44" s="38"/>
      <c r="L44" s="38"/>
      <c r="M44" s="38"/>
      <c r="N44" s="38"/>
      <c r="O44" s="38"/>
    </row>
    <row r="45" spans="1:15" ht="20.25" x14ac:dyDescent="0.25">
      <c r="A45" s="58"/>
      <c r="B45" s="58"/>
      <c r="C45" s="60"/>
      <c r="D45" s="60"/>
      <c r="E45" s="38"/>
      <c r="F45" s="38"/>
      <c r="G45" s="38"/>
      <c r="H45" s="38"/>
      <c r="I45" s="38"/>
      <c r="J45" s="38"/>
      <c r="K45" s="38"/>
      <c r="L45" s="38"/>
      <c r="M45" s="38"/>
      <c r="N45" s="38"/>
      <c r="O45" s="38"/>
    </row>
    <row r="46" spans="1:15" ht="20.25" x14ac:dyDescent="0.25">
      <c r="A46" s="58"/>
      <c r="B46" s="58"/>
      <c r="C46" s="60"/>
      <c r="D46" s="60"/>
      <c r="E46" s="38"/>
      <c r="F46" s="38"/>
      <c r="G46" s="38"/>
      <c r="H46" s="38"/>
      <c r="I46" s="38"/>
      <c r="J46" s="38"/>
      <c r="K46" s="38"/>
      <c r="L46" s="38"/>
      <c r="M46" s="38"/>
      <c r="N46" s="38"/>
      <c r="O46" s="38"/>
    </row>
    <row r="47" spans="1:15" ht="20.25" x14ac:dyDescent="0.25">
      <c r="A47" s="58"/>
      <c r="B47" s="58"/>
      <c r="C47" s="60"/>
      <c r="D47" s="60"/>
      <c r="E47" s="38"/>
      <c r="F47" s="38"/>
      <c r="G47" s="38"/>
      <c r="H47" s="38"/>
      <c r="I47" s="38"/>
      <c r="J47" s="38"/>
      <c r="K47" s="38"/>
      <c r="L47" s="38"/>
      <c r="M47" s="38"/>
      <c r="N47" s="38"/>
      <c r="O47" s="38"/>
    </row>
    <row r="48" spans="1:15" ht="20.25" x14ac:dyDescent="0.25">
      <c r="A48" s="58"/>
      <c r="B48" s="58"/>
      <c r="C48" s="60"/>
      <c r="D48" s="60"/>
      <c r="E48" s="38"/>
      <c r="F48" s="38"/>
      <c r="G48" s="38"/>
      <c r="H48" s="38"/>
      <c r="I48" s="38"/>
      <c r="J48" s="38"/>
      <c r="K48" s="38"/>
      <c r="L48" s="38"/>
      <c r="M48" s="38"/>
      <c r="N48" s="38"/>
      <c r="O48" s="38"/>
    </row>
    <row r="49" spans="1:15" ht="20.25" x14ac:dyDescent="0.25">
      <c r="A49" s="58"/>
      <c r="B49" s="58"/>
      <c r="C49" s="60"/>
      <c r="D49" s="60"/>
      <c r="E49" s="38"/>
      <c r="F49" s="38"/>
      <c r="G49" s="38"/>
      <c r="H49" s="38"/>
      <c r="I49" s="38"/>
      <c r="J49" s="38"/>
      <c r="K49" s="38"/>
      <c r="L49" s="38"/>
      <c r="M49" s="38"/>
      <c r="N49" s="38"/>
      <c r="O49" s="38"/>
    </row>
    <row r="50" spans="1:15" ht="20.25" x14ac:dyDescent="0.25">
      <c r="A50" s="58"/>
      <c r="B50" s="58"/>
      <c r="C50" s="60"/>
      <c r="D50" s="60"/>
      <c r="E50" s="38"/>
      <c r="F50" s="38"/>
      <c r="G50" s="38"/>
      <c r="H50" s="38"/>
      <c r="I50" s="38"/>
      <c r="J50" s="38"/>
      <c r="K50" s="38"/>
      <c r="L50" s="38"/>
      <c r="M50" s="38"/>
      <c r="N50" s="38"/>
      <c r="O50" s="38"/>
    </row>
    <row r="51" spans="1:15" ht="20.25" x14ac:dyDescent="0.25">
      <c r="A51" s="58"/>
      <c r="B51" s="58"/>
      <c r="C51" s="60"/>
      <c r="D51" s="60"/>
      <c r="E51" s="38"/>
      <c r="F51" s="38"/>
      <c r="G51" s="38"/>
      <c r="H51" s="38"/>
      <c r="I51" s="38"/>
      <c r="J51" s="38"/>
      <c r="K51" s="38"/>
      <c r="L51" s="38"/>
      <c r="M51" s="38"/>
      <c r="N51" s="38"/>
      <c r="O51" s="38"/>
    </row>
    <row r="52" spans="1:15" ht="20.25" x14ac:dyDescent="0.25">
      <c r="A52" s="58"/>
      <c r="B52" s="58"/>
      <c r="C52" s="60"/>
      <c r="D52" s="60"/>
      <c r="E52" s="38"/>
      <c r="F52" s="38"/>
      <c r="G52" s="38"/>
      <c r="H52" s="38"/>
      <c r="I52" s="38"/>
      <c r="J52" s="38"/>
      <c r="K52" s="38"/>
      <c r="L52" s="38"/>
      <c r="M52" s="38"/>
      <c r="N52" s="38"/>
      <c r="O52" s="38"/>
    </row>
    <row r="53" spans="1:15" ht="20.25" x14ac:dyDescent="0.25">
      <c r="A53" s="58"/>
      <c r="B53" s="58"/>
      <c r="C53" s="60"/>
      <c r="D53" s="60"/>
      <c r="E53" s="38"/>
      <c r="F53" s="38"/>
      <c r="G53" s="38"/>
      <c r="H53" s="38"/>
      <c r="I53" s="38"/>
      <c r="J53" s="38"/>
      <c r="K53" s="38"/>
      <c r="L53" s="38"/>
      <c r="M53" s="38"/>
      <c r="N53" s="38"/>
      <c r="O53" s="38"/>
    </row>
    <row r="54" spans="1:15" ht="20.25" x14ac:dyDescent="0.25">
      <c r="A54" s="58"/>
      <c r="B54" s="58"/>
      <c r="C54" s="60"/>
      <c r="D54" s="60"/>
      <c r="E54" s="38"/>
      <c r="F54" s="38"/>
      <c r="G54" s="38"/>
      <c r="H54" s="38"/>
      <c r="I54" s="38"/>
      <c r="J54" s="38"/>
      <c r="K54" s="38"/>
      <c r="L54" s="38"/>
      <c r="M54" s="38"/>
      <c r="N54" s="38"/>
      <c r="O54" s="38"/>
    </row>
    <row r="55" spans="1:15" ht="20.25" x14ac:dyDescent="0.25">
      <c r="A55" s="58"/>
      <c r="B55" s="58"/>
      <c r="C55" s="60"/>
      <c r="D55" s="60"/>
      <c r="E55" s="38"/>
      <c r="F55" s="38"/>
      <c r="G55" s="38"/>
      <c r="H55" s="38"/>
      <c r="I55" s="38"/>
      <c r="J55" s="38"/>
      <c r="K55" s="38"/>
      <c r="L55" s="38"/>
      <c r="M55" s="38"/>
      <c r="N55" s="38"/>
      <c r="O55" s="38"/>
    </row>
    <row r="56" spans="1:15" ht="20.25" x14ac:dyDescent="0.25">
      <c r="A56" s="58"/>
      <c r="B56" s="21"/>
      <c r="C56" s="28"/>
      <c r="D56" s="28"/>
    </row>
    <row r="57" spans="1:15" ht="20.25" x14ac:dyDescent="0.25">
      <c r="A57" s="58"/>
      <c r="B57" s="21"/>
      <c r="C57" s="28"/>
      <c r="D57" s="28"/>
    </row>
    <row r="58" spans="1:15" ht="20.25" x14ac:dyDescent="0.25">
      <c r="A58" s="58"/>
      <c r="B58" s="21"/>
      <c r="C58" s="28"/>
      <c r="D58" s="28"/>
    </row>
    <row r="59" spans="1:15" ht="20.25" x14ac:dyDescent="0.25">
      <c r="A59" s="58"/>
      <c r="B59" s="21"/>
      <c r="C59" s="28"/>
      <c r="D59" s="28"/>
    </row>
    <row r="60" spans="1:15" ht="20.25" x14ac:dyDescent="0.25">
      <c r="A60" s="58"/>
      <c r="B60" s="21"/>
      <c r="C60" s="28"/>
      <c r="D60" s="28"/>
    </row>
    <row r="61" spans="1:15" ht="20.25" x14ac:dyDescent="0.25">
      <c r="A61" s="58"/>
      <c r="B61" s="21"/>
      <c r="C61" s="28"/>
      <c r="D61" s="28"/>
    </row>
    <row r="62" spans="1:15" ht="20.25" x14ac:dyDescent="0.25">
      <c r="A62" s="58"/>
      <c r="B62" s="21"/>
      <c r="C62" s="28"/>
      <c r="D62" s="28"/>
    </row>
    <row r="63" spans="1:15" ht="20.25" x14ac:dyDescent="0.25">
      <c r="A63" s="58"/>
      <c r="B63" s="21"/>
      <c r="C63" s="28"/>
      <c r="D63" s="28"/>
    </row>
    <row r="64" spans="1:15" ht="20.25" x14ac:dyDescent="0.25">
      <c r="A64" s="58"/>
      <c r="B64" s="21"/>
      <c r="C64" s="28"/>
      <c r="D64" s="28"/>
    </row>
    <row r="65" spans="1:4" ht="20.25" x14ac:dyDescent="0.25">
      <c r="A65" s="58"/>
      <c r="B65" s="21"/>
      <c r="C65" s="28"/>
      <c r="D65" s="28"/>
    </row>
    <row r="66" spans="1:4" ht="20.25" x14ac:dyDescent="0.25">
      <c r="A66" s="58"/>
      <c r="B66" s="21"/>
      <c r="C66" s="28"/>
      <c r="D66" s="28"/>
    </row>
    <row r="67" spans="1:4" ht="20.25" x14ac:dyDescent="0.25">
      <c r="A67" s="58"/>
      <c r="B67" s="21"/>
      <c r="C67" s="28"/>
      <c r="D67" s="28"/>
    </row>
    <row r="68" spans="1:4" ht="20.25" x14ac:dyDescent="0.25">
      <c r="A68" s="58"/>
      <c r="B68" s="21"/>
      <c r="C68" s="28"/>
      <c r="D68" s="28"/>
    </row>
    <row r="69" spans="1:4" ht="20.25" x14ac:dyDescent="0.25">
      <c r="A69" s="58"/>
      <c r="B69" s="21"/>
      <c r="C69" s="28"/>
      <c r="D69" s="28"/>
    </row>
    <row r="70" spans="1:4" ht="20.25" x14ac:dyDescent="0.25">
      <c r="A70" s="58"/>
      <c r="B70" s="21"/>
      <c r="C70" s="28"/>
      <c r="D70" s="28"/>
    </row>
    <row r="71" spans="1:4" ht="20.25" x14ac:dyDescent="0.25">
      <c r="A71" s="58"/>
      <c r="B71" s="21"/>
      <c r="C71" s="28"/>
      <c r="D71" s="28"/>
    </row>
    <row r="72" spans="1:4" ht="20.25" x14ac:dyDescent="0.25">
      <c r="A72" s="58"/>
      <c r="B72" s="21"/>
      <c r="C72" s="28"/>
      <c r="D72" s="28"/>
    </row>
    <row r="73" spans="1:4" ht="20.25" x14ac:dyDescent="0.25">
      <c r="A73" s="58"/>
      <c r="B73" s="21"/>
      <c r="C73" s="28"/>
      <c r="D73" s="28"/>
    </row>
    <row r="74" spans="1:4" ht="20.25" x14ac:dyDescent="0.25">
      <c r="A74" s="58"/>
      <c r="B74" s="21"/>
      <c r="C74" s="28"/>
      <c r="D74" s="28"/>
    </row>
    <row r="75" spans="1:4" ht="20.25" x14ac:dyDescent="0.25">
      <c r="A75" s="58"/>
      <c r="B75" s="21"/>
      <c r="C75" s="28"/>
      <c r="D75" s="28"/>
    </row>
    <row r="76" spans="1:4" ht="20.25" x14ac:dyDescent="0.25">
      <c r="A76" s="58"/>
      <c r="B76" s="21"/>
      <c r="C76" s="28"/>
      <c r="D76" s="28"/>
    </row>
    <row r="77" spans="1:4" ht="20.25" x14ac:dyDescent="0.25">
      <c r="A77" s="58"/>
      <c r="B77" s="21"/>
      <c r="C77" s="28"/>
      <c r="D77" s="28"/>
    </row>
    <row r="78" spans="1:4" ht="20.25" x14ac:dyDescent="0.25">
      <c r="A78" s="58"/>
      <c r="B78" s="21"/>
      <c r="C78" s="28"/>
      <c r="D78" s="28"/>
    </row>
    <row r="79" spans="1:4" ht="20.25" x14ac:dyDescent="0.25">
      <c r="A79" s="58"/>
      <c r="B79" s="21"/>
      <c r="C79" s="28"/>
      <c r="D79" s="28"/>
    </row>
    <row r="80" spans="1:4" ht="20.25" x14ac:dyDescent="0.25">
      <c r="A80" s="58"/>
      <c r="B80" s="21"/>
      <c r="C80" s="28"/>
      <c r="D80" s="28"/>
    </row>
    <row r="81" spans="1:4" ht="20.25" x14ac:dyDescent="0.25">
      <c r="A81" s="58"/>
      <c r="B81" s="21"/>
      <c r="C81" s="28"/>
      <c r="D81" s="28"/>
    </row>
    <row r="82" spans="1:4" ht="20.25" x14ac:dyDescent="0.25">
      <c r="A82" s="58"/>
      <c r="B82" s="21"/>
      <c r="C82" s="28"/>
      <c r="D82" s="28"/>
    </row>
    <row r="83" spans="1:4" ht="20.25" x14ac:dyDescent="0.25">
      <c r="A83" s="58"/>
      <c r="B83" s="21"/>
      <c r="C83" s="28"/>
      <c r="D83" s="28"/>
    </row>
    <row r="84" spans="1:4" ht="20.25" x14ac:dyDescent="0.25">
      <c r="A84" s="58"/>
      <c r="B84" s="21"/>
      <c r="C84" s="28"/>
      <c r="D84" s="28"/>
    </row>
    <row r="85" spans="1:4" ht="20.25" x14ac:dyDescent="0.25">
      <c r="A85" s="58"/>
      <c r="B85" s="21"/>
      <c r="C85" s="28"/>
      <c r="D85" s="28"/>
    </row>
    <row r="86" spans="1:4" ht="20.25" x14ac:dyDescent="0.25">
      <c r="A86" s="58"/>
      <c r="B86" s="21"/>
      <c r="C86" s="28"/>
      <c r="D86" s="28"/>
    </row>
    <row r="87" spans="1:4" ht="20.25" x14ac:dyDescent="0.25">
      <c r="A87" s="58"/>
      <c r="B87" s="21"/>
      <c r="C87" s="28"/>
      <c r="D87" s="28"/>
    </row>
    <row r="88" spans="1:4" ht="20.25" x14ac:dyDescent="0.25">
      <c r="A88" s="58"/>
      <c r="B88" s="21"/>
      <c r="C88" s="28"/>
      <c r="D88" s="28"/>
    </row>
    <row r="89" spans="1:4" ht="20.25" x14ac:dyDescent="0.25">
      <c r="A89" s="58"/>
      <c r="B89" s="21"/>
      <c r="C89" s="28"/>
      <c r="D89" s="28"/>
    </row>
    <row r="90" spans="1:4" ht="20.25" x14ac:dyDescent="0.25">
      <c r="A90" s="58"/>
      <c r="B90" s="21"/>
      <c r="C90" s="28"/>
      <c r="D90" s="28"/>
    </row>
    <row r="91" spans="1:4" ht="20.25" x14ac:dyDescent="0.25">
      <c r="A91" s="58"/>
      <c r="B91" s="21"/>
      <c r="C91" s="28"/>
      <c r="D91" s="28"/>
    </row>
    <row r="92" spans="1:4" ht="20.25" x14ac:dyDescent="0.25">
      <c r="A92" s="58"/>
      <c r="B92" s="21"/>
      <c r="C92" s="28"/>
      <c r="D92" s="28"/>
    </row>
    <row r="93" spans="1:4" ht="20.25" x14ac:dyDescent="0.25">
      <c r="A93" s="58"/>
      <c r="B93" s="21"/>
      <c r="C93" s="28"/>
      <c r="D93" s="28"/>
    </row>
    <row r="94" spans="1:4" ht="20.25" x14ac:dyDescent="0.25">
      <c r="A94" s="58"/>
      <c r="B94" s="21"/>
      <c r="C94" s="28"/>
      <c r="D94" s="28"/>
    </row>
    <row r="95" spans="1:4" ht="20.25" x14ac:dyDescent="0.25">
      <c r="A95" s="58"/>
      <c r="B95" s="21"/>
      <c r="C95" s="28"/>
      <c r="D95" s="28"/>
    </row>
    <row r="96" spans="1:4" ht="20.25" x14ac:dyDescent="0.25">
      <c r="A96" s="58"/>
      <c r="B96" s="21"/>
      <c r="C96" s="28"/>
      <c r="D96" s="28"/>
    </row>
    <row r="97" spans="1:4" ht="20.25" x14ac:dyDescent="0.25">
      <c r="A97" s="58"/>
      <c r="B97" s="21"/>
      <c r="C97" s="28"/>
      <c r="D97" s="28"/>
    </row>
    <row r="98" spans="1:4" ht="20.25" x14ac:dyDescent="0.25">
      <c r="A98" s="58"/>
      <c r="B98" s="21"/>
      <c r="C98" s="28"/>
      <c r="D98" s="28"/>
    </row>
    <row r="99" spans="1:4" ht="20.25" x14ac:dyDescent="0.25">
      <c r="A99" s="58"/>
      <c r="B99" s="21"/>
      <c r="C99" s="28"/>
      <c r="D99" s="28"/>
    </row>
    <row r="100" spans="1:4" ht="20.25" x14ac:dyDescent="0.25">
      <c r="A100" s="58"/>
      <c r="B100" s="21"/>
      <c r="C100" s="28"/>
      <c r="D100" s="28"/>
    </row>
    <row r="101" spans="1:4" ht="20.25" x14ac:dyDescent="0.25">
      <c r="A101" s="58"/>
      <c r="B101" s="21"/>
      <c r="C101" s="28"/>
      <c r="D101" s="28"/>
    </row>
    <row r="102" spans="1:4" ht="20.25" x14ac:dyDescent="0.25">
      <c r="A102" s="58"/>
      <c r="B102" s="21"/>
      <c r="C102" s="28"/>
      <c r="D102" s="28"/>
    </row>
    <row r="103" spans="1:4" ht="20.25" x14ac:dyDescent="0.25">
      <c r="A103" s="58"/>
      <c r="B103" s="21"/>
      <c r="C103" s="28"/>
      <c r="D103" s="28"/>
    </row>
    <row r="104" spans="1:4" ht="20.25" x14ac:dyDescent="0.25">
      <c r="A104" s="58"/>
      <c r="B104" s="21"/>
      <c r="C104" s="28"/>
      <c r="D104" s="28"/>
    </row>
    <row r="105" spans="1:4" ht="20.25" x14ac:dyDescent="0.25">
      <c r="A105" s="58"/>
      <c r="B105" s="21"/>
      <c r="C105" s="28"/>
      <c r="D105" s="28"/>
    </row>
    <row r="106" spans="1:4" ht="20.25" x14ac:dyDescent="0.25">
      <c r="A106" s="58"/>
      <c r="B106" s="21"/>
      <c r="C106" s="28"/>
      <c r="D106" s="28"/>
    </row>
    <row r="107" spans="1:4" ht="20.25" x14ac:dyDescent="0.25">
      <c r="A107" s="58"/>
      <c r="B107" s="21"/>
      <c r="C107" s="28"/>
      <c r="D107" s="28"/>
    </row>
    <row r="108" spans="1:4" ht="20.25" x14ac:dyDescent="0.25">
      <c r="A108" s="58"/>
      <c r="B108" s="21"/>
      <c r="C108" s="28"/>
      <c r="D108" s="28"/>
    </row>
    <row r="109" spans="1:4" ht="20.25" x14ac:dyDescent="0.25">
      <c r="A109" s="58"/>
      <c r="B109" s="21"/>
      <c r="C109" s="28"/>
      <c r="D109" s="28"/>
    </row>
    <row r="110" spans="1:4" ht="20.25" x14ac:dyDescent="0.25">
      <c r="A110" s="58"/>
      <c r="B110" s="21"/>
      <c r="C110" s="28"/>
      <c r="D110" s="28"/>
    </row>
    <row r="111" spans="1:4" ht="20.25" x14ac:dyDescent="0.25">
      <c r="A111" s="58"/>
      <c r="B111" s="21"/>
      <c r="C111" s="28"/>
      <c r="D111" s="28"/>
    </row>
    <row r="112" spans="1:4" ht="20.25" x14ac:dyDescent="0.25">
      <c r="A112" s="58"/>
      <c r="B112" s="21"/>
      <c r="C112" s="28"/>
      <c r="D112" s="28"/>
    </row>
    <row r="113" spans="1:4" ht="20.25" x14ac:dyDescent="0.25">
      <c r="A113" s="58"/>
      <c r="B113" s="21"/>
      <c r="C113" s="28"/>
      <c r="D113" s="28"/>
    </row>
    <row r="114" spans="1:4" ht="20.25" x14ac:dyDescent="0.25">
      <c r="A114" s="58"/>
      <c r="B114" s="21"/>
      <c r="C114" s="28"/>
      <c r="D114" s="28"/>
    </row>
    <row r="115" spans="1:4" ht="20.25" x14ac:dyDescent="0.25">
      <c r="A115" s="58"/>
      <c r="B115" s="21"/>
      <c r="C115" s="28"/>
      <c r="D115" s="28"/>
    </row>
    <row r="116" spans="1:4" ht="20.25" x14ac:dyDescent="0.25">
      <c r="A116" s="58"/>
      <c r="B116" s="21"/>
      <c r="C116" s="28"/>
      <c r="D116" s="28"/>
    </row>
    <row r="117" spans="1:4" ht="20.25" x14ac:dyDescent="0.25">
      <c r="A117" s="58"/>
      <c r="B117" s="21"/>
      <c r="C117" s="28"/>
      <c r="D117" s="28"/>
    </row>
    <row r="118" spans="1:4" ht="20.25" x14ac:dyDescent="0.25">
      <c r="A118" s="58"/>
      <c r="B118" s="21"/>
      <c r="C118" s="28"/>
      <c r="D118" s="28"/>
    </row>
    <row r="119" spans="1:4" ht="20.25" x14ac:dyDescent="0.25">
      <c r="A119" s="58"/>
      <c r="B119" s="21"/>
      <c r="C119" s="28"/>
      <c r="D119" s="28"/>
    </row>
    <row r="120" spans="1:4" ht="20.25" x14ac:dyDescent="0.25">
      <c r="A120" s="58"/>
      <c r="B120" s="21"/>
      <c r="C120" s="28"/>
      <c r="D120" s="28"/>
    </row>
    <row r="121" spans="1:4" ht="20.25" x14ac:dyDescent="0.25">
      <c r="A121" s="58"/>
      <c r="B121" s="21"/>
      <c r="C121" s="28"/>
      <c r="D121" s="28"/>
    </row>
    <row r="122" spans="1:4" ht="20.25" x14ac:dyDescent="0.25">
      <c r="A122" s="58"/>
      <c r="B122" s="21"/>
      <c r="C122" s="28"/>
      <c r="D122" s="28"/>
    </row>
    <row r="123" spans="1:4" ht="20.25" x14ac:dyDescent="0.25">
      <c r="A123" s="58"/>
      <c r="B123" s="21"/>
      <c r="C123" s="28"/>
      <c r="D123" s="28"/>
    </row>
    <row r="124" spans="1:4" ht="20.25" x14ac:dyDescent="0.25">
      <c r="A124" s="58"/>
      <c r="B124" s="21"/>
      <c r="C124" s="28"/>
      <c r="D124" s="28"/>
    </row>
    <row r="125" spans="1:4" ht="20.25" x14ac:dyDescent="0.25">
      <c r="A125" s="58"/>
      <c r="B125" s="21"/>
      <c r="C125" s="28"/>
      <c r="D125" s="28"/>
    </row>
    <row r="126" spans="1:4" ht="20.25" x14ac:dyDescent="0.25">
      <c r="A126" s="58"/>
      <c r="B126" s="21"/>
      <c r="C126" s="28"/>
      <c r="D126" s="28"/>
    </row>
    <row r="127" spans="1:4" ht="20.25" x14ac:dyDescent="0.25">
      <c r="A127" s="58"/>
      <c r="B127" s="21"/>
      <c r="C127" s="28"/>
      <c r="D127" s="28"/>
    </row>
    <row r="128" spans="1:4" ht="20.25" x14ac:dyDescent="0.25">
      <c r="A128" s="58"/>
      <c r="B128" s="21"/>
      <c r="C128" s="28"/>
      <c r="D128" s="28"/>
    </row>
    <row r="129" spans="1:4" ht="20.25" x14ac:dyDescent="0.25">
      <c r="A129" s="58"/>
      <c r="B129" s="21"/>
      <c r="C129" s="28"/>
      <c r="D129" s="28"/>
    </row>
    <row r="130" spans="1:4" ht="20.25" x14ac:dyDescent="0.25">
      <c r="A130" s="58"/>
      <c r="B130" s="21"/>
      <c r="C130" s="28"/>
      <c r="D130" s="28"/>
    </row>
    <row r="131" spans="1:4" ht="20.25" x14ac:dyDescent="0.25">
      <c r="A131" s="58"/>
      <c r="B131" s="21"/>
      <c r="C131" s="28"/>
      <c r="D131" s="28"/>
    </row>
    <row r="132" spans="1:4" ht="20.25" x14ac:dyDescent="0.25">
      <c r="A132" s="58"/>
      <c r="B132" s="21"/>
      <c r="C132" s="28"/>
      <c r="D132" s="28"/>
    </row>
    <row r="133" spans="1:4" ht="20.25" x14ac:dyDescent="0.25">
      <c r="A133" s="58"/>
      <c r="B133" s="21"/>
      <c r="C133" s="28"/>
      <c r="D133" s="28"/>
    </row>
    <row r="134" spans="1:4" ht="20.25" x14ac:dyDescent="0.25">
      <c r="A134" s="58"/>
      <c r="B134" s="21"/>
      <c r="C134" s="28"/>
      <c r="D134" s="28"/>
    </row>
    <row r="135" spans="1:4" ht="20.25" x14ac:dyDescent="0.25">
      <c r="A135" s="58"/>
      <c r="B135" s="21"/>
      <c r="C135" s="28"/>
      <c r="D135" s="28"/>
    </row>
    <row r="136" spans="1:4" ht="20.25" x14ac:dyDescent="0.25">
      <c r="A136" s="58"/>
      <c r="B136" s="21"/>
      <c r="C136" s="28"/>
      <c r="D136" s="28"/>
    </row>
    <row r="137" spans="1:4" ht="20.25" x14ac:dyDescent="0.25">
      <c r="A137" s="58"/>
      <c r="B137" s="21"/>
      <c r="C137" s="28"/>
      <c r="D137" s="28"/>
    </row>
    <row r="138" spans="1:4" ht="20.25" x14ac:dyDescent="0.25">
      <c r="A138" s="58"/>
      <c r="B138" s="21"/>
      <c r="C138" s="28"/>
      <c r="D138" s="28"/>
    </row>
    <row r="139" spans="1:4" ht="20.25" x14ac:dyDescent="0.25">
      <c r="A139" s="58"/>
      <c r="B139" s="21"/>
      <c r="C139" s="28"/>
      <c r="D139" s="28"/>
    </row>
    <row r="140" spans="1:4" ht="20.25" x14ac:dyDescent="0.25">
      <c r="A140" s="58"/>
      <c r="B140" s="21"/>
      <c r="C140" s="28"/>
      <c r="D140" s="28"/>
    </row>
    <row r="141" spans="1:4" ht="20.25" x14ac:dyDescent="0.25">
      <c r="A141" s="58"/>
      <c r="B141" s="21"/>
      <c r="C141" s="28"/>
      <c r="D141" s="28"/>
    </row>
    <row r="142" spans="1:4" ht="20.25" x14ac:dyDescent="0.25">
      <c r="A142" s="58"/>
      <c r="B142" s="21"/>
      <c r="C142" s="28"/>
      <c r="D142" s="28"/>
    </row>
    <row r="143" spans="1:4" ht="20.25" x14ac:dyDescent="0.25">
      <c r="A143" s="58"/>
      <c r="B143" s="21"/>
      <c r="C143" s="28"/>
      <c r="D143" s="28"/>
    </row>
    <row r="144" spans="1:4" ht="20.25" x14ac:dyDescent="0.25">
      <c r="A144" s="58"/>
      <c r="B144" s="21"/>
      <c r="C144" s="28"/>
      <c r="D144" s="28"/>
    </row>
    <row r="145" spans="1:4" ht="20.25" x14ac:dyDescent="0.25">
      <c r="A145" s="58"/>
      <c r="B145" s="21"/>
      <c r="C145" s="28"/>
      <c r="D145" s="28"/>
    </row>
    <row r="146" spans="1:4" ht="20.25" x14ac:dyDescent="0.25">
      <c r="A146" s="58"/>
      <c r="B146" s="21"/>
      <c r="C146" s="28"/>
      <c r="D146" s="28"/>
    </row>
    <row r="147" spans="1:4" ht="20.25" x14ac:dyDescent="0.25">
      <c r="A147" s="58"/>
      <c r="B147" s="21"/>
      <c r="C147" s="28"/>
      <c r="D147" s="28"/>
    </row>
    <row r="148" spans="1:4" ht="20.25" x14ac:dyDescent="0.25">
      <c r="A148" s="58"/>
      <c r="B148" s="21"/>
      <c r="C148" s="28"/>
      <c r="D148" s="28"/>
    </row>
    <row r="149" spans="1:4" ht="20.25" x14ac:dyDescent="0.25">
      <c r="A149" s="58"/>
      <c r="B149" s="21"/>
      <c r="C149" s="28"/>
      <c r="D149" s="28"/>
    </row>
    <row r="150" spans="1:4" ht="20.25" x14ac:dyDescent="0.25">
      <c r="A150" s="58"/>
      <c r="B150" s="21"/>
      <c r="C150" s="28"/>
      <c r="D150" s="28"/>
    </row>
    <row r="151" spans="1:4" ht="20.25" x14ac:dyDescent="0.25">
      <c r="A151" s="58"/>
      <c r="B151" s="21"/>
      <c r="C151" s="28"/>
      <c r="D151" s="28"/>
    </row>
    <row r="152" spans="1:4" ht="20.25" x14ac:dyDescent="0.25">
      <c r="A152" s="58"/>
      <c r="B152" s="21"/>
      <c r="C152" s="28"/>
      <c r="D152" s="28"/>
    </row>
    <row r="153" spans="1:4" ht="20.25" x14ac:dyDescent="0.25">
      <c r="A153" s="58"/>
      <c r="B153" s="21"/>
      <c r="C153" s="28"/>
      <c r="D153" s="28"/>
    </row>
    <row r="154" spans="1:4" ht="20.25" x14ac:dyDescent="0.25">
      <c r="A154" s="58"/>
      <c r="B154" s="21"/>
      <c r="C154" s="28"/>
      <c r="D154" s="28"/>
    </row>
    <row r="155" spans="1:4" ht="20.25" x14ac:dyDescent="0.25">
      <c r="A155" s="58"/>
      <c r="B155" s="21"/>
      <c r="C155" s="28"/>
      <c r="D155" s="28"/>
    </row>
    <row r="156" spans="1:4" ht="20.25" x14ac:dyDescent="0.25">
      <c r="A156" s="58"/>
      <c r="B156" s="21"/>
      <c r="C156" s="28"/>
      <c r="D156" s="28"/>
    </row>
    <row r="157" spans="1:4" ht="20.25" x14ac:dyDescent="0.25">
      <c r="A157" s="58"/>
      <c r="B157" s="21"/>
      <c r="C157" s="28"/>
      <c r="D157" s="28"/>
    </row>
    <row r="158" spans="1:4" ht="20.25" x14ac:dyDescent="0.25">
      <c r="A158" s="58"/>
      <c r="B158" s="21"/>
      <c r="C158" s="28"/>
      <c r="D158" s="28"/>
    </row>
    <row r="159" spans="1:4" ht="20.25" x14ac:dyDescent="0.25">
      <c r="A159" s="58"/>
      <c r="B159" s="21"/>
      <c r="C159" s="28"/>
      <c r="D159" s="28"/>
    </row>
    <row r="160" spans="1:4" ht="20.25" x14ac:dyDescent="0.25">
      <c r="A160" s="58"/>
      <c r="B160" s="21"/>
      <c r="C160" s="28"/>
      <c r="D160" s="28"/>
    </row>
    <row r="161" spans="1:4" ht="20.25" x14ac:dyDescent="0.25">
      <c r="A161" s="58"/>
      <c r="B161" s="21"/>
      <c r="C161" s="28"/>
      <c r="D161" s="28"/>
    </row>
    <row r="162" spans="1:4" ht="20.25" x14ac:dyDescent="0.25">
      <c r="A162" s="58"/>
      <c r="B162" s="21"/>
      <c r="C162" s="28"/>
      <c r="D162" s="28"/>
    </row>
    <row r="163" spans="1:4" ht="20.25" x14ac:dyDescent="0.25">
      <c r="A163" s="58"/>
      <c r="B163" s="21"/>
      <c r="C163" s="28"/>
      <c r="D163" s="28"/>
    </row>
    <row r="164" spans="1:4" ht="20.25" x14ac:dyDescent="0.25">
      <c r="A164" s="58"/>
      <c r="B164" s="21"/>
      <c r="C164" s="28"/>
      <c r="D164" s="28"/>
    </row>
    <row r="165" spans="1:4" ht="20.25" x14ac:dyDescent="0.25">
      <c r="A165" s="58"/>
      <c r="B165" s="21"/>
      <c r="C165" s="28"/>
      <c r="D165" s="28"/>
    </row>
    <row r="166" spans="1:4" ht="20.25" x14ac:dyDescent="0.25">
      <c r="A166" s="58"/>
      <c r="B166" s="21"/>
      <c r="C166" s="28"/>
      <c r="D166" s="28"/>
    </row>
    <row r="167" spans="1:4" ht="20.25" x14ac:dyDescent="0.25">
      <c r="A167" s="58"/>
      <c r="B167" s="21"/>
      <c r="C167" s="28"/>
      <c r="D167" s="28"/>
    </row>
    <row r="168" spans="1:4" ht="20.25" x14ac:dyDescent="0.25">
      <c r="A168" s="58"/>
      <c r="B168" s="21"/>
      <c r="C168" s="28"/>
      <c r="D168" s="28"/>
    </row>
    <row r="169" spans="1:4" ht="20.25" x14ac:dyDescent="0.25">
      <c r="A169" s="58"/>
      <c r="B169" s="21"/>
      <c r="C169" s="28"/>
      <c r="D169" s="28"/>
    </row>
    <row r="170" spans="1:4" ht="20.25" x14ac:dyDescent="0.25">
      <c r="A170" s="58"/>
      <c r="B170" s="21"/>
      <c r="C170" s="28"/>
      <c r="D170" s="28"/>
    </row>
    <row r="171" spans="1:4" ht="20.25" x14ac:dyDescent="0.25">
      <c r="A171" s="58"/>
      <c r="B171" s="21"/>
      <c r="C171" s="28"/>
      <c r="D171" s="28"/>
    </row>
    <row r="172" spans="1:4" ht="20.25" x14ac:dyDescent="0.25">
      <c r="A172" s="58"/>
      <c r="B172" s="21"/>
      <c r="C172" s="28"/>
      <c r="D172" s="28"/>
    </row>
    <row r="173" spans="1:4" ht="20.25" x14ac:dyDescent="0.25">
      <c r="A173" s="58"/>
      <c r="B173" s="21"/>
      <c r="C173" s="28"/>
      <c r="D173" s="28"/>
    </row>
    <row r="174" spans="1:4" ht="20.25" x14ac:dyDescent="0.25">
      <c r="A174" s="58"/>
      <c r="B174" s="21"/>
      <c r="C174" s="28"/>
      <c r="D174" s="28"/>
    </row>
    <row r="175" spans="1:4" ht="20.25" x14ac:dyDescent="0.25">
      <c r="A175" s="58"/>
      <c r="B175" s="21"/>
      <c r="C175" s="28"/>
      <c r="D175" s="28"/>
    </row>
    <row r="176" spans="1:4" ht="20.25" x14ac:dyDescent="0.25">
      <c r="A176" s="58"/>
      <c r="B176" s="21"/>
      <c r="C176" s="28"/>
      <c r="D176" s="28"/>
    </row>
    <row r="177" spans="1:4" ht="20.25" x14ac:dyDescent="0.25">
      <c r="A177" s="58"/>
      <c r="B177" s="21"/>
      <c r="C177" s="28"/>
      <c r="D177" s="28"/>
    </row>
    <row r="178" spans="1:4" ht="20.25" x14ac:dyDescent="0.25">
      <c r="A178" s="58"/>
      <c r="B178" s="21"/>
      <c r="C178" s="28"/>
      <c r="D178" s="28"/>
    </row>
    <row r="179" spans="1:4" ht="20.25" x14ac:dyDescent="0.25">
      <c r="A179" s="58"/>
      <c r="B179" s="21"/>
      <c r="C179" s="28"/>
      <c r="D179" s="28"/>
    </row>
    <row r="180" spans="1:4" ht="20.25" x14ac:dyDescent="0.25">
      <c r="A180" s="58"/>
      <c r="B180" s="21"/>
      <c r="C180" s="28"/>
      <c r="D180" s="28"/>
    </row>
    <row r="181" spans="1:4" ht="20.25" x14ac:dyDescent="0.25">
      <c r="A181" s="58"/>
      <c r="B181" s="21"/>
      <c r="C181" s="28"/>
      <c r="D181" s="28"/>
    </row>
    <row r="182" spans="1:4" ht="20.25" x14ac:dyDescent="0.25">
      <c r="A182" s="58"/>
      <c r="B182" s="21"/>
      <c r="C182" s="28"/>
      <c r="D182" s="28"/>
    </row>
    <row r="183" spans="1:4" ht="20.25" x14ac:dyDescent="0.25">
      <c r="A183" s="58"/>
      <c r="B183" s="21"/>
      <c r="C183" s="28"/>
      <c r="D183" s="28"/>
    </row>
    <row r="184" spans="1:4" ht="20.25" x14ac:dyDescent="0.25">
      <c r="A184" s="58"/>
      <c r="B184" s="21"/>
      <c r="C184" s="28"/>
      <c r="D184" s="28"/>
    </row>
    <row r="185" spans="1:4" ht="20.25" x14ac:dyDescent="0.25">
      <c r="A185" s="58"/>
      <c r="B185" s="21"/>
      <c r="C185" s="28"/>
      <c r="D185" s="28"/>
    </row>
    <row r="186" spans="1:4" ht="20.25" x14ac:dyDescent="0.25">
      <c r="A186" s="58"/>
      <c r="B186" s="21"/>
      <c r="C186" s="28"/>
      <c r="D186" s="28"/>
    </row>
    <row r="187" spans="1:4" ht="20.25" x14ac:dyDescent="0.25">
      <c r="A187" s="58"/>
      <c r="B187" s="21"/>
      <c r="C187" s="28"/>
      <c r="D187" s="28"/>
    </row>
    <row r="188" spans="1:4" ht="20.25" x14ac:dyDescent="0.25">
      <c r="A188" s="58"/>
      <c r="B188" s="21"/>
      <c r="C188" s="28"/>
      <c r="D188" s="28"/>
    </row>
    <row r="189" spans="1:4" ht="20.25" x14ac:dyDescent="0.25">
      <c r="A189" s="58"/>
      <c r="B189" s="21"/>
      <c r="C189" s="28"/>
      <c r="D189" s="28"/>
    </row>
    <row r="190" spans="1:4" ht="20.25" x14ac:dyDescent="0.25">
      <c r="A190" s="58"/>
      <c r="B190" s="21"/>
      <c r="C190" s="28"/>
      <c r="D190" s="28"/>
    </row>
    <row r="191" spans="1:4" ht="20.25" x14ac:dyDescent="0.25">
      <c r="A191" s="58"/>
      <c r="B191" s="21"/>
      <c r="C191" s="28"/>
      <c r="D191" s="28"/>
    </row>
    <row r="192" spans="1:4" ht="20.25" x14ac:dyDescent="0.25">
      <c r="A192" s="58"/>
      <c r="B192" s="21"/>
      <c r="C192" s="28"/>
      <c r="D192" s="28"/>
    </row>
    <row r="193" spans="1:4" ht="20.25" x14ac:dyDescent="0.25">
      <c r="A193" s="58"/>
      <c r="B193" s="21"/>
      <c r="C193" s="28"/>
      <c r="D193" s="28"/>
    </row>
    <row r="194" spans="1:4" ht="20.25" x14ac:dyDescent="0.25">
      <c r="A194" s="58"/>
      <c r="B194" s="21"/>
      <c r="C194" s="28"/>
      <c r="D194" s="28"/>
    </row>
    <row r="195" spans="1:4" ht="20.25" x14ac:dyDescent="0.25">
      <c r="A195" s="58"/>
      <c r="B195" s="21"/>
      <c r="C195" s="28"/>
      <c r="D195" s="28"/>
    </row>
    <row r="196" spans="1:4" ht="20.25" x14ac:dyDescent="0.25">
      <c r="A196" s="58"/>
      <c r="B196" s="21"/>
      <c r="C196" s="28"/>
      <c r="D196" s="28"/>
    </row>
    <row r="197" spans="1:4" ht="20.25" x14ac:dyDescent="0.25">
      <c r="A197" s="58"/>
      <c r="B197" s="21"/>
      <c r="C197" s="28"/>
      <c r="D197" s="28"/>
    </row>
    <row r="198" spans="1:4" ht="20.25" x14ac:dyDescent="0.25">
      <c r="A198" s="58"/>
      <c r="B198" s="21"/>
      <c r="C198" s="28"/>
      <c r="D198" s="28"/>
    </row>
    <row r="199" spans="1:4" ht="20.25" x14ac:dyDescent="0.25">
      <c r="A199" s="58"/>
      <c r="B199" s="21"/>
      <c r="C199" s="28"/>
      <c r="D199" s="28"/>
    </row>
    <row r="200" spans="1:4" ht="20.25" x14ac:dyDescent="0.25">
      <c r="A200" s="58"/>
      <c r="B200" s="21"/>
      <c r="C200" s="28"/>
      <c r="D200" s="28"/>
    </row>
    <row r="201" spans="1:4" ht="20.25" x14ac:dyDescent="0.25">
      <c r="A201" s="58"/>
      <c r="B201" s="21"/>
      <c r="C201" s="28"/>
      <c r="D201" s="28"/>
    </row>
    <row r="202" spans="1:4" ht="20.25" x14ac:dyDescent="0.25">
      <c r="A202" s="58"/>
      <c r="B202" s="21"/>
      <c r="C202" s="28"/>
      <c r="D202" s="28"/>
    </row>
    <row r="203" spans="1:4" ht="20.25" x14ac:dyDescent="0.25">
      <c r="A203" s="58"/>
      <c r="B203" s="21"/>
      <c r="C203" s="28"/>
      <c r="D203" s="28"/>
    </row>
    <row r="204" spans="1:4" ht="20.25" x14ac:dyDescent="0.25">
      <c r="A204" s="58"/>
      <c r="B204" s="21"/>
      <c r="C204" s="28"/>
      <c r="D204" s="28"/>
    </row>
    <row r="205" spans="1:4" ht="20.25" x14ac:dyDescent="0.25">
      <c r="A205" s="58"/>
      <c r="B205" s="21"/>
      <c r="C205" s="28"/>
      <c r="D205" s="28"/>
    </row>
    <row r="206" spans="1:4" ht="20.25" x14ac:dyDescent="0.25">
      <c r="A206" s="58"/>
      <c r="B206" s="21"/>
      <c r="C206" s="28"/>
      <c r="D206" s="28"/>
    </row>
    <row r="207" spans="1:4" ht="20.25" x14ac:dyDescent="0.25">
      <c r="A207" s="58"/>
      <c r="B207" s="21"/>
      <c r="C207" s="28"/>
      <c r="D207" s="28"/>
    </row>
    <row r="208" spans="1:4" ht="20.25" x14ac:dyDescent="0.25">
      <c r="A208" s="58"/>
      <c r="B208" s="21"/>
      <c r="C208" s="28"/>
      <c r="D208" s="28"/>
    </row>
    <row r="209" spans="1:8" ht="20.25" x14ac:dyDescent="0.25">
      <c r="A209" s="58"/>
      <c r="B209" s="21"/>
      <c r="C209" s="28"/>
      <c r="D209" s="28"/>
    </row>
    <row r="210" spans="1:8" ht="20.25" x14ac:dyDescent="0.25">
      <c r="A210" s="58"/>
      <c r="B210" s="21"/>
      <c r="C210" s="28"/>
      <c r="D210" s="28"/>
    </row>
    <row r="211" spans="1:8" ht="20.25" x14ac:dyDescent="0.25">
      <c r="A211" s="58"/>
      <c r="B211" s="21"/>
      <c r="C211" s="28"/>
      <c r="D211" s="28"/>
    </row>
    <row r="212" spans="1:8" x14ac:dyDescent="0.25">
      <c r="A212" s="38"/>
      <c r="B212" s="21"/>
      <c r="C212" s="21"/>
      <c r="D212" s="21"/>
    </row>
    <row r="213" spans="1:8" ht="20.25" x14ac:dyDescent="0.25">
      <c r="A213" s="38"/>
      <c r="B213" s="24" t="s">
        <v>78</v>
      </c>
      <c r="C213" s="24" t="s">
        <v>130</v>
      </c>
      <c r="D213" s="27" t="s">
        <v>78</v>
      </c>
      <c r="E213" s="27" t="s">
        <v>130</v>
      </c>
    </row>
    <row r="214" spans="1:8" ht="21" x14ac:dyDescent="0.35">
      <c r="A214" s="38"/>
      <c r="B214" s="25" t="s">
        <v>80</v>
      </c>
      <c r="C214" s="25" t="s">
        <v>49</v>
      </c>
      <c r="D214" t="s">
        <v>200</v>
      </c>
      <c r="F214" t="str">
        <f>IF(NOT(ISBLANK(D214)),D214,IF(NOT(ISBLANK(E214)),"     "&amp;E214,FALSE))</f>
        <v>Afectación Económica o presupuestal - No seleccionar</v>
      </c>
      <c r="G214" t="s">
        <v>80</v>
      </c>
      <c r="H214" t="str">
        <f>IF(NOT(ISERROR(MATCH(G214,_xlfn.ANCHORARRAY(B225),0))),F227&amp;"Por favor no seleccionar los criterios de impacto",G214)</f>
        <v>❌Por favor no seleccionar los criterios de impacto</v>
      </c>
    </row>
    <row r="215" spans="1:8" ht="21" x14ac:dyDescent="0.35">
      <c r="A215" s="38"/>
      <c r="B215" s="25" t="s">
        <v>80</v>
      </c>
      <c r="C215" s="25" t="s">
        <v>83</v>
      </c>
      <c r="E215" t="s">
        <v>49</v>
      </c>
      <c r="F215" t="str">
        <f t="shared" ref="F215:F225" si="0">IF(NOT(ISBLANK(D215)),D215,IF(NOT(ISBLANK(E215)),"     "&amp;E215,FALSE))</f>
        <v xml:space="preserve">     Afectación menor a 10 SMLMV .</v>
      </c>
    </row>
    <row r="216" spans="1:8" ht="21" x14ac:dyDescent="0.35">
      <c r="A216" s="38"/>
      <c r="B216" s="25" t="s">
        <v>80</v>
      </c>
      <c r="C216" s="25" t="s">
        <v>84</v>
      </c>
      <c r="E216" t="s">
        <v>83</v>
      </c>
      <c r="F216" t="str">
        <f t="shared" si="0"/>
        <v xml:space="preserve">     Entre 10 y 50 SMLMV </v>
      </c>
    </row>
    <row r="217" spans="1:8" ht="21" x14ac:dyDescent="0.35">
      <c r="A217" s="38"/>
      <c r="B217" s="25" t="s">
        <v>80</v>
      </c>
      <c r="C217" s="25" t="s">
        <v>85</v>
      </c>
      <c r="E217" t="s">
        <v>84</v>
      </c>
      <c r="F217" t="str">
        <f t="shared" si="0"/>
        <v xml:space="preserve">     Entre 50 y 100 SMLMV </v>
      </c>
    </row>
    <row r="218" spans="1:8" ht="21" x14ac:dyDescent="0.35">
      <c r="A218" s="38"/>
      <c r="B218" s="25" t="s">
        <v>80</v>
      </c>
      <c r="C218" s="25" t="s">
        <v>86</v>
      </c>
      <c r="E218" t="s">
        <v>85</v>
      </c>
      <c r="F218" t="str">
        <f t="shared" si="0"/>
        <v xml:space="preserve">     Entre 100 y 500 SMLMV </v>
      </c>
    </row>
    <row r="219" spans="1:8" ht="21" x14ac:dyDescent="0.35">
      <c r="A219" s="38"/>
      <c r="B219" s="25" t="s">
        <v>48</v>
      </c>
      <c r="C219" s="25" t="s">
        <v>87</v>
      </c>
      <c r="E219" t="s">
        <v>86</v>
      </c>
      <c r="F219" t="str">
        <f t="shared" si="0"/>
        <v xml:space="preserve">     Mayor a 500 SMLMV </v>
      </c>
    </row>
    <row r="220" spans="1:8" ht="21" x14ac:dyDescent="0.35">
      <c r="A220" s="38"/>
      <c r="B220" s="25" t="s">
        <v>48</v>
      </c>
      <c r="C220" s="25" t="s">
        <v>88</v>
      </c>
      <c r="D220" t="s">
        <v>201</v>
      </c>
      <c r="F220" t="str">
        <f t="shared" si="0"/>
        <v>Pérdida Reputacional - No seleccionar</v>
      </c>
    </row>
    <row r="221" spans="1:8" ht="21" x14ac:dyDescent="0.35">
      <c r="A221" s="38"/>
      <c r="B221" s="25" t="s">
        <v>48</v>
      </c>
      <c r="C221" s="25" t="s">
        <v>90</v>
      </c>
      <c r="E221" t="s">
        <v>87</v>
      </c>
      <c r="F221" t="str">
        <f t="shared" si="0"/>
        <v xml:space="preserve">     El riesgo afecta la imagen de alguna área de la organización</v>
      </c>
    </row>
    <row r="222" spans="1:8" ht="21" x14ac:dyDescent="0.35">
      <c r="A222" s="38"/>
      <c r="B222" s="25" t="s">
        <v>48</v>
      </c>
      <c r="C222" s="25" t="s">
        <v>89</v>
      </c>
      <c r="E222" t="s">
        <v>88</v>
      </c>
      <c r="F222" t="str">
        <f t="shared" si="0"/>
        <v xml:space="preserve">     El riesgo afecta la imagen de la entidad internamente, de conocimiento general, nivel interno, de junta dircetiva y accionistas y/o de provedores</v>
      </c>
    </row>
    <row r="223" spans="1:8" ht="21" x14ac:dyDescent="0.35">
      <c r="A223" s="38"/>
      <c r="B223" s="25" t="s">
        <v>48</v>
      </c>
      <c r="C223" s="25" t="s">
        <v>108</v>
      </c>
      <c r="E223" t="s">
        <v>90</v>
      </c>
      <c r="F223" t="str">
        <f t="shared" si="0"/>
        <v xml:space="preserve">     El riesgo afecta la imagen de la entidad con algunos usuarios de relevancia frente al logro de los objetivos</v>
      </c>
    </row>
    <row r="224" spans="1:8" x14ac:dyDescent="0.25">
      <c r="A224" s="38"/>
      <c r="B224" s="26"/>
      <c r="C224" s="26"/>
      <c r="E224" t="s">
        <v>89</v>
      </c>
      <c r="F224" t="str">
        <f t="shared" si="0"/>
        <v xml:space="preserve">     El riesgo afecta la imagen de de la entidad con efecto publicitario sostenido a nivel de sector administrativo, nivel departamental o municipal</v>
      </c>
    </row>
    <row r="225" spans="1:6" x14ac:dyDescent="0.25">
      <c r="A225" s="38"/>
      <c r="B225" s="26" t="str" cm="1">
        <f t="array" ref="B225:B227">_xlfn.UNIQUE(Tabla1[[#All],[Criterios]])</f>
        <v>Criterios</v>
      </c>
      <c r="C225" s="26"/>
      <c r="E225" t="s">
        <v>108</v>
      </c>
      <c r="F225" t="str">
        <f t="shared" si="0"/>
        <v xml:space="preserve">     El riesgo afecta la imagen de la entidad a nivel nacional, con efecto publicitarios sostenible a nivel país</v>
      </c>
    </row>
    <row r="226" spans="1:6" x14ac:dyDescent="0.25">
      <c r="A226" s="38"/>
      <c r="B226" s="26" t="str">
        <v>Afectación Económica o presupuestal</v>
      </c>
      <c r="C226" s="26"/>
    </row>
    <row r="227" spans="1:6" x14ac:dyDescent="0.25">
      <c r="B227" s="26" t="str">
        <v>Pérdida Reputacional</v>
      </c>
      <c r="C227" s="26"/>
      <c r="F227" s="29" t="s">
        <v>132</v>
      </c>
    </row>
    <row r="228" spans="1:6" x14ac:dyDescent="0.25">
      <c r="B228" s="20"/>
      <c r="C228" s="20"/>
      <c r="F228" s="29" t="s">
        <v>133</v>
      </c>
    </row>
    <row r="229" spans="1:6" x14ac:dyDescent="0.25">
      <c r="B229" s="20"/>
      <c r="C229" s="20"/>
    </row>
    <row r="230" spans="1:6" x14ac:dyDescent="0.25">
      <c r="B230" s="20"/>
      <c r="C230" s="20"/>
    </row>
    <row r="231" spans="1:6" x14ac:dyDescent="0.25">
      <c r="B231" s="20"/>
      <c r="C231" s="20"/>
      <c r="D231" s="20"/>
    </row>
    <row r="232" spans="1:6" x14ac:dyDescent="0.25">
      <c r="B232" s="20"/>
      <c r="C232" s="20"/>
      <c r="D232" s="20"/>
    </row>
    <row r="233" spans="1:6" x14ac:dyDescent="0.25">
      <c r="B233" s="20"/>
      <c r="C233" s="20"/>
      <c r="D233" s="20"/>
    </row>
    <row r="234" spans="1:6" x14ac:dyDescent="0.25">
      <c r="B234" s="20"/>
      <c r="C234" s="20"/>
      <c r="D234" s="20"/>
    </row>
    <row r="235" spans="1:6" x14ac:dyDescent="0.25">
      <c r="B235" s="20"/>
      <c r="C235" s="20"/>
      <c r="D235" s="20"/>
    </row>
    <row r="236" spans="1:6" x14ac:dyDescent="0.25">
      <c r="B236" s="20"/>
      <c r="C236" s="20"/>
      <c r="D236" s="20"/>
    </row>
  </sheetData>
  <sheetProtection algorithmName="SHA-512" hashValue="13GVp8xsGbrmDxg6lxyduBA26MSYF/3cnOoiud1U+5r9GHKKJCKz6hPIaf5OFOOgehMbnmHXBKHezCIkojhCPg==" saltValue="8nQv/yTYyvDlcTIQWJFYpQ==" spinCount="100000" sheet="1" objects="1" scenarios="1"/>
  <mergeCells count="11">
    <mergeCell ref="D10:E10"/>
    <mergeCell ref="D11:E11"/>
    <mergeCell ref="D12:E12"/>
    <mergeCell ref="C2:D2"/>
    <mergeCell ref="C3:D3"/>
    <mergeCell ref="D7:E7"/>
    <mergeCell ref="B5:D5"/>
    <mergeCell ref="B2:B3"/>
    <mergeCell ref="E2:E3"/>
    <mergeCell ref="D8:E8"/>
    <mergeCell ref="D9:E9"/>
  </mergeCells>
  <dataValidations count="1">
    <dataValidation type="list" allowBlank="1" showInputMessage="1" showErrorMessage="1" sqref="G214" xr:uid="{00000000-0002-0000-0600-000000000000}">
      <formula1>$F$214:$F$225</formula1>
    </dataValidation>
  </dataValidations>
  <pageMargins left="0.7" right="0.7" top="0.75" bottom="0.75" header="0.3" footer="0.3"/>
  <pageSetup orientation="portrait" r:id="rId2"/>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7" tint="-0.249977111117893"/>
  </sheetPr>
  <dimension ref="B1:F20"/>
  <sheetViews>
    <sheetView topLeftCell="A7" workbookViewId="0">
      <selection activeCell="B13" sqref="B13"/>
    </sheetView>
  </sheetViews>
  <sheetFormatPr baseColWidth="10" defaultColWidth="14.28515625" defaultRowHeight="12.75" x14ac:dyDescent="0.2"/>
  <cols>
    <col min="1" max="2" width="14.28515625" style="43"/>
    <col min="3" max="3" width="17" style="43" customWidth="1"/>
    <col min="4" max="4" width="14.28515625" style="43"/>
    <col min="5" max="5" width="46" style="43" customWidth="1"/>
    <col min="6" max="16384" width="14.28515625" style="43"/>
  </cols>
  <sheetData>
    <row r="1" spans="2:6" customFormat="1" ht="6" customHeight="1" x14ac:dyDescent="0.25"/>
    <row r="2" spans="2:6" s="38" customFormat="1" ht="42.75" customHeight="1" x14ac:dyDescent="0.25">
      <c r="B2" s="146"/>
      <c r="C2" s="388" t="s">
        <v>191</v>
      </c>
      <c r="D2" s="388"/>
      <c r="E2" s="388"/>
      <c r="F2" s="386" t="s">
        <v>230</v>
      </c>
    </row>
    <row r="3" spans="2:6" s="38" customFormat="1" ht="42.75" customHeight="1" x14ac:dyDescent="0.25">
      <c r="B3" s="147"/>
      <c r="C3" s="359" t="s">
        <v>192</v>
      </c>
      <c r="D3" s="359"/>
      <c r="E3" s="359"/>
      <c r="F3" s="387"/>
    </row>
    <row r="4" spans="2:6" s="38" customFormat="1" ht="7.5" customHeight="1" thickBot="1" x14ac:dyDescent="0.3">
      <c r="B4" s="79"/>
      <c r="C4" s="80"/>
      <c r="D4" s="80"/>
      <c r="E4" s="81"/>
    </row>
    <row r="5" spans="2:6" ht="24" customHeight="1" thickBot="1" x14ac:dyDescent="0.25">
      <c r="B5" s="389" t="s">
        <v>69</v>
      </c>
      <c r="C5" s="390"/>
      <c r="D5" s="390"/>
      <c r="E5" s="390"/>
      <c r="F5" s="391"/>
    </row>
    <row r="6" spans="2:6" ht="16.5" thickBot="1" x14ac:dyDescent="0.3">
      <c r="B6" s="44"/>
      <c r="C6" s="44"/>
      <c r="D6" s="44"/>
      <c r="E6" s="44"/>
      <c r="F6" s="44"/>
    </row>
    <row r="7" spans="2:6" ht="16.5" thickBot="1" x14ac:dyDescent="0.25">
      <c r="B7" s="378" t="s">
        <v>55</v>
      </c>
      <c r="C7" s="379"/>
      <c r="D7" s="379"/>
      <c r="E7" s="56" t="s">
        <v>56</v>
      </c>
      <c r="F7" s="57" t="s">
        <v>57</v>
      </c>
    </row>
    <row r="8" spans="2:6" ht="31.5" x14ac:dyDescent="0.2">
      <c r="B8" s="380" t="s">
        <v>58</v>
      </c>
      <c r="C8" s="382" t="s">
        <v>12</v>
      </c>
      <c r="D8" s="45" t="s">
        <v>13</v>
      </c>
      <c r="E8" s="46" t="s">
        <v>59</v>
      </c>
      <c r="F8" s="47">
        <v>0.25</v>
      </c>
    </row>
    <row r="9" spans="2:6" ht="47.25" x14ac:dyDescent="0.2">
      <c r="B9" s="381"/>
      <c r="C9" s="383"/>
      <c r="D9" s="48" t="s">
        <v>14</v>
      </c>
      <c r="E9" s="49" t="s">
        <v>60</v>
      </c>
      <c r="F9" s="50">
        <v>0.15</v>
      </c>
    </row>
    <row r="10" spans="2:6" ht="47.25" x14ac:dyDescent="0.2">
      <c r="B10" s="381"/>
      <c r="C10" s="383"/>
      <c r="D10" s="48" t="s">
        <v>15</v>
      </c>
      <c r="E10" s="49" t="s">
        <v>61</v>
      </c>
      <c r="F10" s="50">
        <v>0.1</v>
      </c>
    </row>
    <row r="11" spans="2:6" ht="63" x14ac:dyDescent="0.2">
      <c r="B11" s="381"/>
      <c r="C11" s="383" t="s">
        <v>16</v>
      </c>
      <c r="D11" s="48" t="s">
        <v>10</v>
      </c>
      <c r="E11" s="49" t="s">
        <v>62</v>
      </c>
      <c r="F11" s="50">
        <v>0.25</v>
      </c>
    </row>
    <row r="12" spans="2:6" ht="31.5" x14ac:dyDescent="0.2">
      <c r="B12" s="381"/>
      <c r="C12" s="383"/>
      <c r="D12" s="48" t="s">
        <v>9</v>
      </c>
      <c r="E12" s="49" t="s">
        <v>63</v>
      </c>
      <c r="F12" s="50">
        <v>0.15</v>
      </c>
    </row>
    <row r="13" spans="2:6" ht="47.25" x14ac:dyDescent="0.2">
      <c r="B13" s="381" t="s">
        <v>146</v>
      </c>
      <c r="C13" s="383" t="s">
        <v>17</v>
      </c>
      <c r="D13" s="48" t="s">
        <v>18</v>
      </c>
      <c r="E13" s="49" t="s">
        <v>64</v>
      </c>
      <c r="F13" s="51" t="s">
        <v>65</v>
      </c>
    </row>
    <row r="14" spans="2:6" ht="63" x14ac:dyDescent="0.2">
      <c r="B14" s="381"/>
      <c r="C14" s="383"/>
      <c r="D14" s="48" t="s">
        <v>19</v>
      </c>
      <c r="E14" s="49" t="s">
        <v>66</v>
      </c>
      <c r="F14" s="51" t="s">
        <v>65</v>
      </c>
    </row>
    <row r="15" spans="2:6" ht="47.25" x14ac:dyDescent="0.2">
      <c r="B15" s="381"/>
      <c r="C15" s="383" t="s">
        <v>20</v>
      </c>
      <c r="D15" s="48" t="s">
        <v>21</v>
      </c>
      <c r="E15" s="49" t="s">
        <v>67</v>
      </c>
      <c r="F15" s="51" t="s">
        <v>65</v>
      </c>
    </row>
    <row r="16" spans="2:6" ht="47.25" x14ac:dyDescent="0.2">
      <c r="B16" s="381"/>
      <c r="C16" s="383"/>
      <c r="D16" s="48" t="s">
        <v>22</v>
      </c>
      <c r="E16" s="49" t="s">
        <v>68</v>
      </c>
      <c r="F16" s="51" t="s">
        <v>65</v>
      </c>
    </row>
    <row r="17" spans="2:6" ht="31.5" x14ac:dyDescent="0.2">
      <c r="B17" s="381"/>
      <c r="C17" s="383" t="s">
        <v>23</v>
      </c>
      <c r="D17" s="48" t="s">
        <v>109</v>
      </c>
      <c r="E17" s="49" t="s">
        <v>112</v>
      </c>
      <c r="F17" s="51" t="s">
        <v>65</v>
      </c>
    </row>
    <row r="18" spans="2:6" ht="32.25" thickBot="1" x14ac:dyDescent="0.25">
      <c r="B18" s="384"/>
      <c r="C18" s="385"/>
      <c r="D18" s="52" t="s">
        <v>110</v>
      </c>
      <c r="E18" s="53" t="s">
        <v>111</v>
      </c>
      <c r="F18" s="54" t="s">
        <v>65</v>
      </c>
    </row>
    <row r="19" spans="2:6" ht="49.5" customHeight="1" x14ac:dyDescent="0.2">
      <c r="B19" s="377" t="s">
        <v>144</v>
      </c>
      <c r="C19" s="377"/>
      <c r="D19" s="377"/>
      <c r="E19" s="377"/>
      <c r="F19" s="377"/>
    </row>
    <row r="20" spans="2:6" ht="27" customHeight="1" x14ac:dyDescent="0.25">
      <c r="B20" s="55"/>
    </row>
  </sheetData>
  <sheetProtection algorithmName="SHA-512" hashValue="+X5fuigjgnv/poKdk9iZZIn5woU04ZZfM2clVfv7NJEcnjcDCb8NS3AJmrE42Kl0Bd+fWRKfohx2ILb8hyubSg==" saltValue="2UZaenjKZvbVif0p2LaG5Q==" spinCount="100000" sheet="1" objects="1" scenarios="1"/>
  <mergeCells count="14">
    <mergeCell ref="B2:B3"/>
    <mergeCell ref="F2:F3"/>
    <mergeCell ref="C2:E2"/>
    <mergeCell ref="C3:E3"/>
    <mergeCell ref="B5:F5"/>
    <mergeCell ref="B19:F19"/>
    <mergeCell ref="B7:D7"/>
    <mergeCell ref="B8:B12"/>
    <mergeCell ref="C8:C10"/>
    <mergeCell ref="C11:C12"/>
    <mergeCell ref="B13:B18"/>
    <mergeCell ref="C13:C14"/>
    <mergeCell ref="C15:C16"/>
    <mergeCell ref="C17:C1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B2:E19"/>
  <sheetViews>
    <sheetView topLeftCell="A7" workbookViewId="0">
      <selection activeCell="B13" sqref="B13"/>
    </sheetView>
  </sheetViews>
  <sheetFormatPr baseColWidth="10" defaultRowHeight="15" x14ac:dyDescent="0.25"/>
  <sheetData>
    <row r="2" spans="2:5" x14ac:dyDescent="0.25">
      <c r="B2" t="s">
        <v>29</v>
      </c>
      <c r="E2" t="s">
        <v>122</v>
      </c>
    </row>
    <row r="3" spans="2:5" x14ac:dyDescent="0.25">
      <c r="B3" t="s">
        <v>30</v>
      </c>
      <c r="E3" t="s">
        <v>121</v>
      </c>
    </row>
    <row r="4" spans="2:5" x14ac:dyDescent="0.25">
      <c r="B4" t="s">
        <v>125</v>
      </c>
      <c r="E4" t="s">
        <v>123</v>
      </c>
    </row>
    <row r="5" spans="2:5" x14ac:dyDescent="0.25">
      <c r="B5" t="s">
        <v>124</v>
      </c>
    </row>
    <row r="8" spans="2:5" x14ac:dyDescent="0.25">
      <c r="B8" t="s">
        <v>77</v>
      </c>
    </row>
    <row r="9" spans="2:5" x14ac:dyDescent="0.25">
      <c r="B9" t="s">
        <v>33</v>
      </c>
    </row>
    <row r="10" spans="2:5" x14ac:dyDescent="0.25">
      <c r="B10" t="s">
        <v>34</v>
      </c>
    </row>
    <row r="13" spans="2:5" x14ac:dyDescent="0.25">
      <c r="B13" t="s">
        <v>119</v>
      </c>
    </row>
    <row r="14" spans="2:5" x14ac:dyDescent="0.25">
      <c r="B14" t="s">
        <v>113</v>
      </c>
    </row>
    <row r="15" spans="2:5" x14ac:dyDescent="0.25">
      <c r="B15" t="s">
        <v>116</v>
      </c>
    </row>
    <row r="16" spans="2:5" x14ac:dyDescent="0.25">
      <c r="B16" t="s">
        <v>114</v>
      </c>
    </row>
    <row r="17" spans="2:2" x14ac:dyDescent="0.25">
      <c r="B17" t="s">
        <v>115</v>
      </c>
    </row>
    <row r="18" spans="2:2" x14ac:dyDescent="0.25">
      <c r="B18" t="s">
        <v>117</v>
      </c>
    </row>
    <row r="19" spans="2:2" x14ac:dyDescent="0.25">
      <c r="B19" t="s">
        <v>118</v>
      </c>
    </row>
  </sheetData>
  <sortState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A33DBF335282F48A5F9B014D46D005A" ma:contentTypeVersion="12" ma:contentTypeDescription="Crear nuevo documento." ma:contentTypeScope="" ma:versionID="ec79dae045a172131217dbbd6ba9a92e">
  <xsd:schema xmlns:xsd="http://www.w3.org/2001/XMLSchema" xmlns:xs="http://www.w3.org/2001/XMLSchema" xmlns:p="http://schemas.microsoft.com/office/2006/metadata/properties" xmlns:ns3="7959be62-3a60-4bcf-a545-dce96c6e5397" targetNamespace="http://schemas.microsoft.com/office/2006/metadata/properties" ma:root="true" ma:fieldsID="e8210fd1887dc91a3888969c00c9b34c" ns3:_="">
    <xsd:import namespace="7959be62-3a60-4bcf-a545-dce96c6e5397"/>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59be62-3a60-4bcf-a545-dce96c6e5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59be62-3a60-4bcf-a545-dce96c6e53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58ABC6-6CD4-4EF9-9A53-93E887DCD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59be62-3a60-4bcf-a545-dce96c6e5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2FD6E1-00CC-4180-8EEF-F8E96B92D4BC}">
  <ds:schemaRefs>
    <ds:schemaRef ds:uri="http://purl.org/dc/dcmitype/"/>
    <ds:schemaRef ds:uri="http://purl.org/dc/elements/1.1/"/>
    <ds:schemaRef ds:uri="http://schemas.microsoft.com/office/2006/documentManagement/types"/>
    <ds:schemaRef ds:uri="7959be62-3a60-4bcf-a545-dce96c6e5397"/>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C6CEB46-1866-4555-88C3-E35E203C36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Instructivo</vt:lpstr>
      <vt:lpstr>Mapa inherente</vt:lpstr>
      <vt:lpstr>Matriz Calor Inherente</vt:lpstr>
      <vt:lpstr>Hoja de controles</vt:lpstr>
      <vt:lpstr>Hoja2</vt:lpstr>
      <vt:lpstr>Tabla probabilidad</vt:lpstr>
      <vt:lpstr>Tabla Impacto</vt:lpstr>
      <vt:lpstr>Tabla Valoración controles</vt:lpstr>
      <vt:lpstr>Opciones Tratamiento</vt:lpstr>
      <vt:lpstr>Hoja1</vt:lpstr>
      <vt:lpstr>'Hoja de controles'!Área_de_impresión</vt:lpstr>
      <vt:lpstr>'Mapa inherente'!Área_de_impresión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Karim Sohjan Mahuad Suarez</cp:lastModifiedBy>
  <cp:lastPrinted>2023-11-06T20:27:14Z</cp:lastPrinted>
  <dcterms:created xsi:type="dcterms:W3CDTF">2020-03-24T23:12:47Z</dcterms:created>
  <dcterms:modified xsi:type="dcterms:W3CDTF">2024-05-03T14:40:45Z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0x010100AA33DBF335282F48A5F9B014D46D005A</vt:lpwstr>
  </property>
</Properties>
</file>