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Diaz\Desktop\PRESUPUESTO 2021\"/>
    </mc:Choice>
  </mc:AlternateContent>
  <bookViews>
    <workbookView xWindow="0" yWindow="1440" windowWidth="19440" windowHeight="6465" tabRatio="843"/>
  </bookViews>
  <sheets>
    <sheet name="PLAN FINACIERO" sheetId="18" r:id="rId1"/>
  </sheets>
  <calcPr calcId="162913"/>
</workbook>
</file>

<file path=xl/calcChain.xml><?xml version="1.0" encoding="utf-8"?>
<calcChain xmlns="http://schemas.openxmlformats.org/spreadsheetml/2006/main">
  <c r="Q41" i="18" l="1"/>
  <c r="F37" i="18"/>
  <c r="F29" i="18"/>
  <c r="D14" i="18"/>
  <c r="D15" i="18"/>
  <c r="D21" i="18"/>
  <c r="D17" i="18"/>
  <c r="D23" i="18"/>
  <c r="F19" i="18"/>
  <c r="E19" i="18"/>
  <c r="O13" i="18"/>
  <c r="N13" i="18"/>
  <c r="M13" i="18"/>
  <c r="L13" i="18"/>
  <c r="K13" i="18"/>
  <c r="J13" i="18"/>
  <c r="I13" i="18"/>
  <c r="H13" i="18"/>
  <c r="G13" i="18"/>
  <c r="F13" i="18"/>
  <c r="E13" i="18"/>
  <c r="C21" i="18"/>
  <c r="B33" i="18"/>
  <c r="D28" i="18"/>
  <c r="D20" i="18"/>
  <c r="D10" i="18"/>
  <c r="P9" i="18" l="1"/>
  <c r="O9" i="18"/>
  <c r="O8" i="18" s="1"/>
  <c r="N9" i="18"/>
  <c r="M9" i="18"/>
  <c r="L9" i="18"/>
  <c r="L8" i="18" s="1"/>
  <c r="J9" i="18"/>
  <c r="J8" i="18" s="1"/>
  <c r="J7" i="18" s="1"/>
  <c r="J6" i="18" s="1"/>
  <c r="I9" i="18"/>
  <c r="H9" i="18"/>
  <c r="H8" i="18" s="1"/>
  <c r="H7" i="18" s="1"/>
  <c r="H6" i="18" s="1"/>
  <c r="G9" i="18"/>
  <c r="F9" i="18"/>
  <c r="E9" i="18"/>
  <c r="N8" i="18"/>
  <c r="M8" i="18"/>
  <c r="I8" i="18"/>
  <c r="I7" i="18" s="1"/>
  <c r="I6" i="18" s="1"/>
  <c r="G8" i="18"/>
  <c r="F8" i="18"/>
  <c r="F7" i="18" s="1"/>
  <c r="E8" i="18"/>
  <c r="E7" i="18" s="1"/>
  <c r="E6" i="18" s="1"/>
  <c r="J43" i="18" l="1"/>
  <c r="E43" i="18"/>
  <c r="I43" i="18"/>
  <c r="H43" i="18"/>
  <c r="B11" i="18"/>
  <c r="Q5" i="18" l="1"/>
  <c r="P19" i="18" l="1"/>
  <c r="B19" i="18" l="1"/>
  <c r="C19" i="18"/>
  <c r="X20" i="18"/>
  <c r="D19" i="18"/>
  <c r="O19" i="18"/>
  <c r="O7" i="18" s="1"/>
  <c r="N19" i="18"/>
  <c r="N7" i="18" s="1"/>
  <c r="M19" i="18"/>
  <c r="M7" i="18" s="1"/>
  <c r="L19" i="18"/>
  <c r="L7" i="18" s="1"/>
  <c r="K19" i="18"/>
  <c r="G19" i="18"/>
  <c r="G7" i="18" s="1"/>
  <c r="Q26" i="18"/>
  <c r="Q39" i="18" l="1"/>
  <c r="Q38" i="18"/>
  <c r="D36" i="18"/>
  <c r="Q24" i="18"/>
  <c r="X25" i="18" s="1"/>
  <c r="Z15" i="18"/>
  <c r="W36" i="18"/>
  <c r="W30" i="18"/>
  <c r="W27" i="18"/>
  <c r="W19" i="18"/>
  <c r="W13" i="18"/>
  <c r="W9" i="18"/>
  <c r="Q25" i="18"/>
  <c r="Q23" i="18"/>
  <c r="P36" i="18"/>
  <c r="P13" i="18"/>
  <c r="P8" i="18" s="1"/>
  <c r="P7" i="18" s="1"/>
  <c r="W8" i="18" l="1"/>
  <c r="W7" i="18" s="1"/>
  <c r="W43" i="18" s="1"/>
  <c r="D27" i="18"/>
  <c r="K27" i="18" l="1"/>
  <c r="K30" i="18"/>
  <c r="K36" i="18"/>
  <c r="U30" i="18"/>
  <c r="S30" i="18"/>
  <c r="P30" i="18"/>
  <c r="M30" i="18"/>
  <c r="P27" i="18"/>
  <c r="P6" i="18" s="1"/>
  <c r="M6" i="18" l="1"/>
  <c r="M43" i="18"/>
  <c r="U6" i="18"/>
  <c r="V39" i="18" l="1"/>
  <c r="V38" i="18"/>
  <c r="P43" i="18" l="1"/>
  <c r="S22" i="18" l="1"/>
  <c r="S19" i="18" l="1"/>
  <c r="R25" i="18" l="1"/>
  <c r="V25" i="18"/>
  <c r="F30" i="18"/>
  <c r="T34" i="18" l="1"/>
  <c r="T33" i="18"/>
  <c r="T32" i="18"/>
  <c r="T31" i="18"/>
  <c r="T29" i="18"/>
  <c r="T28" i="18"/>
  <c r="T23" i="18"/>
  <c r="T22" i="18"/>
  <c r="T21" i="18"/>
  <c r="T20" i="18"/>
  <c r="T18" i="18"/>
  <c r="T17" i="18"/>
  <c r="T16" i="18"/>
  <c r="T15" i="18"/>
  <c r="T14" i="18"/>
  <c r="T11" i="18"/>
  <c r="T10" i="18"/>
  <c r="T30" i="18" l="1"/>
  <c r="T6" i="18" s="1"/>
  <c r="D13" i="18"/>
  <c r="S13" i="18"/>
  <c r="B13" i="18"/>
  <c r="S9" i="18"/>
  <c r="S27" i="18"/>
  <c r="S8" i="18" l="1"/>
  <c r="S7" i="18" s="1"/>
  <c r="Q28" i="18" l="1"/>
  <c r="O36" i="18"/>
  <c r="N36" i="18"/>
  <c r="L36" i="18"/>
  <c r="G36" i="18"/>
  <c r="F36" i="18"/>
  <c r="C36" i="18"/>
  <c r="B36" i="18"/>
  <c r="O30" i="18"/>
  <c r="N30" i="18"/>
  <c r="L30" i="18"/>
  <c r="G30" i="18"/>
  <c r="D30" i="18"/>
  <c r="N43" i="18" l="1"/>
  <c r="N6" i="18"/>
  <c r="R28" i="18"/>
  <c r="V28" i="18"/>
  <c r="Q11" i="18"/>
  <c r="Q22" i="18"/>
  <c r="B30" i="18"/>
  <c r="R38" i="18"/>
  <c r="Q37" i="18"/>
  <c r="Q36" i="18" s="1"/>
  <c r="Q35" i="18"/>
  <c r="V35" i="18" s="1"/>
  <c r="Q34" i="18"/>
  <c r="Q32" i="18"/>
  <c r="Q31" i="18"/>
  <c r="Q29" i="18"/>
  <c r="Q27" i="18" s="1"/>
  <c r="Q20" i="18"/>
  <c r="Q18" i="18"/>
  <c r="Q16" i="18"/>
  <c r="Q14" i="18"/>
  <c r="R14" i="18" l="1"/>
  <c r="V14" i="18"/>
  <c r="R18" i="18"/>
  <c r="V18" i="18"/>
  <c r="R34" i="18"/>
  <c r="V34" i="18"/>
  <c r="R32" i="18"/>
  <c r="V32" i="18"/>
  <c r="R29" i="18"/>
  <c r="R27" i="18" s="1"/>
  <c r="V29" i="18"/>
  <c r="V27" i="18" s="1"/>
  <c r="R16" i="18"/>
  <c r="V16" i="18"/>
  <c r="R31" i="18"/>
  <c r="V31" i="18"/>
  <c r="R11" i="18"/>
  <c r="V11" i="18"/>
  <c r="R37" i="18"/>
  <c r="V37" i="18"/>
  <c r="V36" i="18" s="1"/>
  <c r="R20" i="18"/>
  <c r="V20" i="18"/>
  <c r="V24" i="18"/>
  <c r="R23" i="18"/>
  <c r="V23" i="18"/>
  <c r="R22" i="18"/>
  <c r="V22" i="18"/>
  <c r="R24" i="18"/>
  <c r="O27" i="18" l="1"/>
  <c r="L27" i="18"/>
  <c r="G27" i="18"/>
  <c r="F27" i="18"/>
  <c r="F6" i="18" s="1"/>
  <c r="C27" i="18"/>
  <c r="B27" i="18"/>
  <c r="C13" i="18"/>
  <c r="B9" i="18"/>
  <c r="L6" i="18" l="1"/>
  <c r="L43" i="18"/>
  <c r="G43" i="18"/>
  <c r="G6" i="18"/>
  <c r="O6" i="18"/>
  <c r="O43" i="18"/>
  <c r="F43" i="18"/>
  <c r="B8" i="18"/>
  <c r="B7" i="18" l="1"/>
  <c r="B6" i="18" s="1"/>
  <c r="D9" i="18"/>
  <c r="B43" i="18" l="1"/>
  <c r="C9" i="18"/>
  <c r="C8" i="18" s="1"/>
  <c r="C7" i="18" s="1"/>
  <c r="D8" i="18"/>
  <c r="D7" i="18" l="1"/>
  <c r="D43" i="18" l="1"/>
  <c r="D6" i="18"/>
  <c r="Q15" i="18"/>
  <c r="V15" i="18" s="1"/>
  <c r="Q21" i="18" l="1"/>
  <c r="Q19" i="18" s="1"/>
  <c r="Y20" i="18" s="1"/>
  <c r="R15" i="18"/>
  <c r="Q17" i="18"/>
  <c r="Q13" i="18" s="1"/>
  <c r="V21" i="18" l="1"/>
  <c r="V19" i="18" s="1"/>
  <c r="R21" i="18"/>
  <c r="R19" i="18" s="1"/>
  <c r="R17" i="18"/>
  <c r="R13" i="18" s="1"/>
  <c r="V17" i="18"/>
  <c r="V13" i="18" s="1"/>
  <c r="S36" i="18"/>
  <c r="R36" i="18"/>
  <c r="S43" i="18" l="1"/>
  <c r="S6" i="18"/>
  <c r="C30" i="18"/>
  <c r="Q33" i="18"/>
  <c r="Q30" i="18" s="1"/>
  <c r="X30" i="18" s="1"/>
  <c r="C43" i="18" l="1"/>
  <c r="C6" i="18"/>
  <c r="V33" i="18"/>
  <c r="V30" i="18" s="1"/>
  <c r="R33" i="18"/>
  <c r="R30" i="18" s="1"/>
  <c r="Q10" i="18"/>
  <c r="R10" i="18" s="1"/>
  <c r="R9" i="18" s="1"/>
  <c r="R8" i="18" s="1"/>
  <c r="R7" i="18" s="1"/>
  <c r="K9" i="18"/>
  <c r="K8" i="18" s="1"/>
  <c r="K7" i="18" s="1"/>
  <c r="K43" i="18" l="1"/>
  <c r="Q44" i="18" s="1"/>
  <c r="K6" i="18"/>
  <c r="V10" i="18"/>
  <c r="V9" i="18" s="1"/>
  <c r="V8" i="18" s="1"/>
  <c r="V7" i="18" s="1"/>
  <c r="V43" i="18" s="1"/>
  <c r="R6" i="18"/>
  <c r="R43" i="18"/>
  <c r="Q9" i="18"/>
  <c r="Q8" i="18" s="1"/>
  <c r="Q7" i="18" s="1"/>
  <c r="Q43" i="18" l="1"/>
  <c r="Q45" i="18" s="1"/>
  <c r="Q6" i="18"/>
  <c r="V44" i="18" l="1"/>
</calcChain>
</file>

<file path=xl/sharedStrings.xml><?xml version="1.0" encoding="utf-8"?>
<sst xmlns="http://schemas.openxmlformats.org/spreadsheetml/2006/main" count="67" uniqueCount="67">
  <si>
    <t>CONCEPTO</t>
  </si>
  <si>
    <t xml:space="preserve">OTROS </t>
  </si>
  <si>
    <t>VENTA DE SERVICIOS</t>
  </si>
  <si>
    <t>TRANSFERENCIAS</t>
  </si>
  <si>
    <t>RECURSOS PROPIOS</t>
  </si>
  <si>
    <t>RECURSOS 
DE CAPITAL</t>
  </si>
  <si>
    <t>GASTOS DE FUNCIONAMIENTO</t>
  </si>
  <si>
    <t>GASTOS DE PERSONAL</t>
  </si>
  <si>
    <t>GASTOS GENERALES</t>
  </si>
  <si>
    <t>BIENESTAR UNIVERSITARIO</t>
  </si>
  <si>
    <t>AL SECTOR PUBLICO</t>
  </si>
  <si>
    <t xml:space="preserve">GASTOS DE COMERCIALIZACIÓN </t>
  </si>
  <si>
    <t>GASTOS DE INVERSION</t>
  </si>
  <si>
    <t>SALUD</t>
  </si>
  <si>
    <t>TOTAL
APROPIACION</t>
  </si>
  <si>
    <t>DOCENTES OCASIONALES</t>
  </si>
  <si>
    <t>DOCENTES CATEDRA</t>
  </si>
  <si>
    <t xml:space="preserve">SERVICIOS PERSONALES INDIRECTOS </t>
  </si>
  <si>
    <t>HONORARIOS</t>
  </si>
  <si>
    <t>ADQUISICIÓN DE BIENES</t>
  </si>
  <si>
    <t>ADQUISICIÓN DE SERVICIOS</t>
  </si>
  <si>
    <t>PASIVO PENSIONAL</t>
  </si>
  <si>
    <t xml:space="preserve"> LEY 30 DE 1992-NACIÓN
(ART. 86 Y 87)</t>
  </si>
  <si>
    <t>ESTAMPILLA TERRITORIAL</t>
  </si>
  <si>
    <t>DERECHOS 
ACADÉMICOS</t>
  </si>
  <si>
    <t>APORTES Y CONTRIBUCIONES NACION Y ENTIDADES TERRITORIALES</t>
  </si>
  <si>
    <t>ESTAMPILLA PROUNIVERSIDADES
ESTATALES</t>
  </si>
  <si>
    <t xml:space="preserve">TOTAL </t>
  </si>
  <si>
    <t>RECURSOS Y APORTES POR 
FONDOS ESPECIALES</t>
  </si>
  <si>
    <t>GASTOS DE PERSONAL ASOCIADOS A NOMINA</t>
  </si>
  <si>
    <t>SUELDOS Y CONTRIBUCIONES</t>
  </si>
  <si>
    <t>GASTOS CONVENCIONALES</t>
  </si>
  <si>
    <t>Personal de apoyo con vinculación temporal</t>
  </si>
  <si>
    <t>FORMACION AVANZADA</t>
  </si>
  <si>
    <t>Unidad especial de salud</t>
  </si>
  <si>
    <t>EDUCACIÓN CONTINUADA</t>
  </si>
  <si>
    <t>RECUPER  IVA</t>
  </si>
  <si>
    <t>DEVOLUCIÓN ELECTORAL</t>
  </si>
  <si>
    <t>DONACIONES</t>
  </si>
  <si>
    <t>TOTAL APROPIACIÓN PROYECTDA</t>
  </si>
  <si>
    <t>APROPICIONES SIN FUENTE DE FINANCIAMIENTO</t>
  </si>
  <si>
    <t>OTROS GASTOS</t>
  </si>
  <si>
    <t>SERVICIOS DE EXTENSIÓN</t>
  </si>
  <si>
    <t>LUÍS ALFONSO DÍAZ VARGAS</t>
  </si>
  <si>
    <t>Jefe División de Asuntos Financieros</t>
  </si>
  <si>
    <t>RENDIMIENTOS FINACIEROS</t>
  </si>
  <si>
    <t xml:space="preserve">INVESTIGACION </t>
  </si>
  <si>
    <t>EXTENSIÓN</t>
  </si>
  <si>
    <t>INVERSIÓN</t>
  </si>
  <si>
    <t>PROYECTOS DE INVESTIGACIÓN Y EXTENSIÓN</t>
  </si>
  <si>
    <t>CONVENIOS</t>
  </si>
  <si>
    <t>FINANCIACIÓN PASIVO</t>
  </si>
  <si>
    <t>TOTAL PROYECCIÓN 2020</t>
  </si>
  <si>
    <t>GASTOS SIN FINANCICIÓN</t>
  </si>
  <si>
    <t xml:space="preserve">liquidación ocacionales </t>
  </si>
  <si>
    <t xml:space="preserve">Seguridad social </t>
  </si>
  <si>
    <t>Liquidación Catedraticos</t>
  </si>
  <si>
    <t>Liquidación Temporales</t>
  </si>
  <si>
    <t>Pago de terceroS</t>
  </si>
  <si>
    <t>toatla aplazamientos</t>
  </si>
  <si>
    <t xml:space="preserve">AJUSTE POR APLAZAMIENTO </t>
  </si>
  <si>
    <t>EXCEDENTES DE COOPERATIVAS</t>
  </si>
  <si>
    <t xml:space="preserve">4,5 PUNTO ADICIONALES </t>
  </si>
  <si>
    <t>ART. 87 LEY 30</t>
  </si>
  <si>
    <t>SERVICIO DE LA DEUDA</t>
  </si>
  <si>
    <t xml:space="preserve">NOTA: La proyección del Plan Finaciero se realizó sobre base de una inflación del 3%. Los gastos de personal asociados a nomina se estimaron sobre la base de un aumento promedio de del 5%; para gastos de personal indirecto se estimo un aumento del 4%. 
</t>
  </si>
  <si>
    <t>UNIVERSIDAD DE CÓRDOBA
VICERRECTORÍA ADMINISTRATIVA Y FINANCIERA
DIVISIÓN DE ASUNTOS FINANCIEROS
PLAN FINANCIERO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</si>
</sst>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-;\-* #,##0.00_-;_-* &quot;-&quot;??_-;_-@_-"/>
    <numFmt numFmtId="165" formatCode="_ * #,##0_ ;_ * \-#,##0_ ;_ * &quot;-&quot;??_ ;_ @_ "/>
    <numFmt numFmtId="166" formatCode="_ [$€]\ * #,##0.00_ ;_ [$€]\ * \-#,##0.00_ ;_ [$€]\ * &quot;-&quot;??_ ;_ @_ "/>
    <numFmt numFmtId="167" formatCode="_ * #,##0_ ;_ * \-#,##0_ ;_ * &quot;-&quot;_ ;_ @_ "/>
    <numFmt numFmtId="168" formatCode="_ * #,##0.00_ ;_ * \-#,##0.00_ ;_ * &quot;-&quot;??_ ;_ @_ "/>
    <numFmt numFmtId="169" formatCode="_-* #,##0_-;\-* #,##0_-;_-* &quot;-&quot;??_-;_-@_-"/>
    <numFmt numFmtId="170" formatCode="_-* #,##0.0_-;\-* #,##0.0_-;_-* &quot;-&quot;??_-;_-@_-"/>
    <numFmt numFmtId="171" formatCode="_(* #,##0.0_);_(* \(#,##0.0\);_(* &quot;-&quot;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8"/>
      <color theme="1"/>
      <name val="Segoe UI"/>
      <family val="2"/>
    </font>
    <font>
      <sz val="10"/>
      <color rgb="FF000000"/>
      <name val="Arial"/>
      <family val="2"/>
    </font>
    <font>
      <b/>
      <sz val="7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0" fontId="5" fillId="0" borderId="1"/>
    <xf numFmtId="0" fontId="6" fillId="0" borderId="1"/>
    <xf numFmtId="0" fontId="9" fillId="0" borderId="1"/>
    <xf numFmtId="0" fontId="2" fillId="0" borderId="1"/>
    <xf numFmtId="43" fontId="10" fillId="0" borderId="1" applyFont="0" applyFill="0" applyBorder="0" applyAlignment="0" applyProtection="0"/>
    <xf numFmtId="9" fontId="10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168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1" fillId="0" borderId="1"/>
    <xf numFmtId="0" fontId="13" fillId="0" borderId="1">
      <alignment vertical="top"/>
    </xf>
  </cellStyleXfs>
  <cellXfs count="86">
    <xf numFmtId="0" fontId="0" fillId="0" borderId="0" xfId="0"/>
    <xf numFmtId="0" fontId="11" fillId="0" borderId="0" xfId="0" applyFont="1"/>
    <xf numFmtId="0" fontId="4" fillId="4" borderId="4" xfId="1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3" fillId="0" borderId="3" xfId="4" applyFont="1" applyFill="1" applyBorder="1" applyAlignment="1" applyProtection="1">
      <alignment horizontal="right" vertical="center" wrapText="1"/>
      <protection hidden="1"/>
    </xf>
    <xf numFmtId="0" fontId="11" fillId="0" borderId="3" xfId="0" applyFont="1" applyBorder="1" applyAlignment="1">
      <alignment horizontal="right"/>
    </xf>
    <xf numFmtId="0" fontId="4" fillId="6" borderId="2" xfId="11" applyNumberFormat="1" applyFont="1" applyFill="1" applyBorder="1" applyAlignment="1" applyProtection="1">
      <alignment horizontal="left" vertical="center" wrapText="1"/>
      <protection hidden="1"/>
    </xf>
    <xf numFmtId="0" fontId="4" fillId="5" borderId="2" xfId="4" applyFont="1" applyFill="1" applyBorder="1" applyAlignment="1" applyProtection="1">
      <alignment horizontal="left" vertical="center" wrapText="1"/>
      <protection hidden="1"/>
    </xf>
    <xf numFmtId="0" fontId="4" fillId="3" borderId="2" xfId="4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>
      <alignment vertical="center" wrapText="1"/>
    </xf>
    <xf numFmtId="0" fontId="3" fillId="0" borderId="2" xfId="4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>
      <alignment horizontal="left"/>
    </xf>
    <xf numFmtId="165" fontId="12" fillId="2" borderId="8" xfId="1" applyNumberFormat="1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169" fontId="4" fillId="6" borderId="3" xfId="1" applyNumberFormat="1" applyFont="1" applyFill="1" applyBorder="1" applyAlignment="1" applyProtection="1">
      <alignment horizontal="right" vertical="center" wrapText="1"/>
      <protection hidden="1"/>
    </xf>
    <xf numFmtId="169" fontId="7" fillId="0" borderId="3" xfId="1" applyNumberFormat="1" applyFont="1" applyFill="1" applyBorder="1" applyAlignment="1">
      <alignment horizontal="right" vertical="center" wrapText="1"/>
    </xf>
    <xf numFmtId="169" fontId="3" fillId="0" borderId="3" xfId="1" applyNumberFormat="1" applyFont="1" applyFill="1" applyBorder="1" applyAlignment="1" applyProtection="1">
      <alignment horizontal="right" vertical="center" wrapText="1"/>
      <protection hidden="1"/>
    </xf>
    <xf numFmtId="169" fontId="4" fillId="5" borderId="3" xfId="1" applyNumberFormat="1" applyFont="1" applyFill="1" applyBorder="1" applyAlignment="1" applyProtection="1">
      <alignment horizontal="right" vertical="center" wrapText="1"/>
      <protection hidden="1"/>
    </xf>
    <xf numFmtId="169" fontId="7" fillId="3" borderId="3" xfId="1" applyNumberFormat="1" applyFont="1" applyFill="1" applyBorder="1" applyAlignment="1">
      <alignment horizontal="right" vertical="center" wrapText="1"/>
    </xf>
    <xf numFmtId="169" fontId="4" fillId="6" borderId="3" xfId="11" applyNumberFormat="1" applyFont="1" applyFill="1" applyBorder="1" applyAlignment="1" applyProtection="1">
      <alignment horizontal="right" vertical="center" wrapText="1"/>
      <protection hidden="1"/>
    </xf>
    <xf numFmtId="169" fontId="7" fillId="0" borderId="3" xfId="0" applyNumberFormat="1" applyFont="1" applyFill="1" applyBorder="1" applyAlignment="1">
      <alignment horizontal="right" vertical="center" wrapText="1"/>
    </xf>
    <xf numFmtId="169" fontId="11" fillId="0" borderId="3" xfId="1" applyNumberFormat="1" applyFont="1" applyBorder="1" applyAlignment="1">
      <alignment horizontal="right"/>
    </xf>
    <xf numFmtId="169" fontId="11" fillId="0" borderId="2" xfId="0" applyNumberFormat="1" applyFont="1" applyBorder="1" applyAlignment="1">
      <alignment horizontal="left"/>
    </xf>
    <xf numFmtId="169" fontId="11" fillId="0" borderId="3" xfId="0" applyNumberFormat="1" applyFont="1" applyBorder="1" applyAlignment="1">
      <alignment horizontal="right"/>
    </xf>
    <xf numFmtId="165" fontId="8" fillId="2" borderId="7" xfId="1" applyNumberFormat="1" applyFont="1" applyFill="1" applyBorder="1" applyAlignment="1">
      <alignment horizontal="center" vertical="center" wrapText="1"/>
    </xf>
    <xf numFmtId="0" fontId="4" fillId="7" borderId="3" xfId="11" applyNumberFormat="1" applyFont="1" applyFill="1" applyBorder="1" applyAlignment="1" applyProtection="1">
      <alignment horizontal="right" vertical="center" wrapText="1"/>
      <protection hidden="1"/>
    </xf>
    <xf numFmtId="169" fontId="4" fillId="7" borderId="3" xfId="11" applyNumberFormat="1" applyFont="1" applyFill="1" applyBorder="1" applyAlignment="1" applyProtection="1">
      <alignment horizontal="right" vertical="center" wrapText="1"/>
      <protection hidden="1"/>
    </xf>
    <xf numFmtId="0" fontId="11" fillId="7" borderId="0" xfId="0" applyFont="1" applyFill="1"/>
    <xf numFmtId="169" fontId="4" fillId="7" borderId="3" xfId="1" applyNumberFormat="1" applyFont="1" applyFill="1" applyBorder="1" applyAlignment="1" applyProtection="1">
      <alignment horizontal="right" vertical="center" wrapText="1"/>
      <protection hidden="1"/>
    </xf>
    <xf numFmtId="165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7" xfId="1" applyNumberFormat="1" applyFont="1" applyFill="1" applyBorder="1" applyAlignment="1">
      <alignment horizontal="right" vertical="center" wrapText="1"/>
    </xf>
    <xf numFmtId="169" fontId="3" fillId="0" borderId="7" xfId="1" applyNumberFormat="1" applyFont="1" applyFill="1" applyBorder="1" applyAlignment="1" applyProtection="1">
      <alignment horizontal="right" vertical="center" wrapText="1"/>
      <protection hidden="1"/>
    </xf>
    <xf numFmtId="169" fontId="11" fillId="0" borderId="7" xfId="0" applyNumberFormat="1" applyFont="1" applyBorder="1" applyAlignment="1">
      <alignment horizontal="right"/>
    </xf>
    <xf numFmtId="169" fontId="11" fillId="0" borderId="0" xfId="1" applyNumberFormat="1" applyFont="1"/>
    <xf numFmtId="169" fontId="11" fillId="0" borderId="0" xfId="0" applyNumberFormat="1" applyFont="1"/>
    <xf numFmtId="0" fontId="7" fillId="7" borderId="2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right" vertical="center" wrapText="1"/>
    </xf>
    <xf numFmtId="169" fontId="7" fillId="7" borderId="3" xfId="1" applyNumberFormat="1" applyFont="1" applyFill="1" applyBorder="1" applyAlignment="1">
      <alignment horizontal="right" vertical="center" wrapText="1"/>
    </xf>
    <xf numFmtId="169" fontId="7" fillId="7" borderId="7" xfId="1" applyNumberFormat="1" applyFont="1" applyFill="1" applyBorder="1" applyAlignment="1">
      <alignment horizontal="right" vertical="center" wrapText="1"/>
    </xf>
    <xf numFmtId="169" fontId="11" fillId="7" borderId="0" xfId="1" applyNumberFormat="1" applyFont="1" applyFill="1"/>
    <xf numFmtId="0" fontId="3" fillId="7" borderId="2" xfId="4" applyFont="1" applyFill="1" applyBorder="1" applyAlignment="1" applyProtection="1">
      <alignment horizontal="left" vertical="center" wrapText="1"/>
      <protection hidden="1"/>
    </xf>
    <xf numFmtId="0" fontId="3" fillId="7" borderId="2" xfId="0" applyFont="1" applyFill="1" applyBorder="1" applyAlignment="1">
      <alignment horizontal="left"/>
    </xf>
    <xf numFmtId="169" fontId="3" fillId="7" borderId="3" xfId="1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169" fontId="3" fillId="7" borderId="3" xfId="1" applyNumberFormat="1" applyFont="1" applyFill="1" applyBorder="1" applyAlignment="1" applyProtection="1">
      <alignment horizontal="right" vertical="center" wrapText="1"/>
      <protection hidden="1"/>
    </xf>
    <xf numFmtId="169" fontId="3" fillId="7" borderId="7" xfId="1" applyNumberFormat="1" applyFont="1" applyFill="1" applyBorder="1" applyAlignment="1">
      <alignment horizontal="right"/>
    </xf>
    <xf numFmtId="0" fontId="11" fillId="7" borderId="3" xfId="0" applyFont="1" applyFill="1" applyBorder="1"/>
    <xf numFmtId="170" fontId="11" fillId="0" borderId="0" xfId="1" applyNumberFormat="1" applyFont="1"/>
    <xf numFmtId="171" fontId="11" fillId="0" borderId="0" xfId="0" applyNumberFormat="1" applyFont="1"/>
    <xf numFmtId="169" fontId="11" fillId="0" borderId="3" xfId="1" applyNumberFormat="1" applyFont="1" applyFill="1" applyBorder="1" applyAlignment="1">
      <alignment horizontal="left"/>
    </xf>
    <xf numFmtId="169" fontId="3" fillId="0" borderId="3" xfId="1" applyNumberFormat="1" applyFont="1" applyFill="1" applyBorder="1" applyAlignment="1">
      <alignment horizontal="right"/>
    </xf>
    <xf numFmtId="0" fontId="11" fillId="0" borderId="0" xfId="0" applyFont="1" applyFill="1"/>
    <xf numFmtId="169" fontId="11" fillId="0" borderId="0" xfId="1" applyNumberFormat="1" applyFont="1" applyFill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169" fontId="3" fillId="0" borderId="7" xfId="1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4" fillId="4" borderId="6" xfId="11" applyNumberFormat="1" applyFont="1" applyFill="1" applyBorder="1" applyAlignment="1" applyProtection="1">
      <alignment horizontal="center" vertical="center" wrapText="1"/>
      <protection hidden="1"/>
    </xf>
    <xf numFmtId="169" fontId="11" fillId="0" borderId="8" xfId="1" applyNumberFormat="1" applyFont="1" applyBorder="1" applyAlignment="1">
      <alignment horizontal="left"/>
    </xf>
    <xf numFmtId="169" fontId="11" fillId="0" borderId="2" xfId="1" applyNumberFormat="1" applyFont="1" applyBorder="1" applyAlignment="1">
      <alignment horizontal="left"/>
    </xf>
    <xf numFmtId="169" fontId="11" fillId="0" borderId="3" xfId="1" applyNumberFormat="1" applyFont="1" applyBorder="1" applyAlignment="1">
      <alignment horizontal="left"/>
    </xf>
    <xf numFmtId="169" fontId="7" fillId="7" borderId="3" xfId="0" applyNumberFormat="1" applyFont="1" applyFill="1" applyBorder="1" applyAlignment="1">
      <alignment horizontal="right" vertical="center" wrapText="1"/>
    </xf>
    <xf numFmtId="169" fontId="11" fillId="0" borderId="0" xfId="0" applyNumberFormat="1" applyFont="1" applyFill="1"/>
    <xf numFmtId="169" fontId="3" fillId="7" borderId="3" xfId="0" applyNumberFormat="1" applyFont="1" applyFill="1" applyBorder="1" applyAlignment="1">
      <alignment horizontal="right"/>
    </xf>
    <xf numFmtId="169" fontId="11" fillId="7" borderId="0" xfId="0" applyNumberFormat="1" applyFont="1" applyFill="1"/>
    <xf numFmtId="169" fontId="11" fillId="0" borderId="0" xfId="0" applyNumberFormat="1" applyFont="1" applyAlignment="1">
      <alignment horizontal="left"/>
    </xf>
    <xf numFmtId="169" fontId="11" fillId="0" borderId="3" xfId="1" applyNumberFormat="1" applyFont="1" applyFill="1" applyBorder="1"/>
    <xf numFmtId="169" fontId="11" fillId="7" borderId="3" xfId="0" applyNumberFormat="1" applyFont="1" applyFill="1" applyBorder="1"/>
    <xf numFmtId="169" fontId="11" fillId="0" borderId="3" xfId="1" applyNumberFormat="1" applyFont="1" applyBorder="1"/>
    <xf numFmtId="169" fontId="4" fillId="6" borderId="2" xfId="1" applyNumberFormat="1" applyFont="1" applyFill="1" applyBorder="1" applyAlignment="1" applyProtection="1">
      <alignment horizontal="left" vertical="center" wrapText="1"/>
      <protection hidden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5" fontId="8" fillId="2" borderId="9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4" xfId="1" applyNumberFormat="1" applyFont="1" applyFill="1" applyBorder="1" applyAlignment="1">
      <alignment horizontal="center" vertical="center" wrapText="1"/>
    </xf>
    <xf numFmtId="0" fontId="4" fillId="4" borderId="10" xfId="11" applyNumberFormat="1" applyFont="1" applyFill="1" applyBorder="1" applyAlignment="1" applyProtection="1">
      <alignment horizontal="center" vertical="center" wrapText="1"/>
      <protection hidden="1"/>
    </xf>
    <xf numFmtId="0" fontId="4" fillId="4" borderId="11" xfId="11" applyNumberFormat="1" applyFont="1" applyFill="1" applyBorder="1" applyAlignment="1" applyProtection="1">
      <alignment horizontal="center" vertical="center" wrapText="1"/>
      <protection hidden="1"/>
    </xf>
    <xf numFmtId="0" fontId="4" fillId="4" borderId="6" xfId="11" applyNumberFormat="1" applyFont="1" applyFill="1" applyBorder="1" applyAlignment="1" applyProtection="1">
      <alignment horizontal="center" vertical="center" wrapText="1"/>
      <protection hidden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 applyProtection="1">
      <alignment horizontal="center" vertical="center" wrapText="1"/>
      <protection hidden="1"/>
    </xf>
  </cellXfs>
  <cellStyles count="20">
    <cellStyle name="Euro" xfId="9"/>
    <cellStyle name="Millares" xfId="1" builtinId="3"/>
    <cellStyle name="Millares [0] 2" xfId="10"/>
    <cellStyle name="Millares 2" xfId="6"/>
    <cellStyle name="Millares 2 2" xfId="11"/>
    <cellStyle name="Millares 3" xfId="12"/>
    <cellStyle name="Millares 3 2" xfId="13"/>
    <cellStyle name="Millares 4" xfId="14"/>
    <cellStyle name="Millares 4 2" xfId="15"/>
    <cellStyle name="Millares 5" xfId="16"/>
    <cellStyle name="Normal" xfId="0" builtinId="0"/>
    <cellStyle name="Normal 2" xfId="4"/>
    <cellStyle name="Normal 2 2" xfId="8"/>
    <cellStyle name="Normal 2 3" xfId="19"/>
    <cellStyle name="Normal 3" xfId="3"/>
    <cellStyle name="Normal 4" xfId="2"/>
    <cellStyle name="Normal 5" xfId="5"/>
    <cellStyle name="Normal 6" xfId="18"/>
    <cellStyle name="Porcentaje 2" xfId="17"/>
    <cellStyle name="Porcentual 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45</xdr:row>
      <xdr:rowOff>123825</xdr:rowOff>
    </xdr:from>
    <xdr:to>
      <xdr:col>0</xdr:col>
      <xdr:colOff>1400175</xdr:colOff>
      <xdr:row>47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2387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zoomScaleNormal="100" zoomScaleSheetLayoutView="90"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D48" sqref="D48"/>
    </sheetView>
  </sheetViews>
  <sheetFormatPr baseColWidth="10" defaultRowHeight="12.75" outlineLevelRow="1" x14ac:dyDescent="0.2"/>
  <cols>
    <col min="1" max="1" width="38.28515625" style="3" customWidth="1"/>
    <col min="2" max="2" width="17.42578125" style="3" customWidth="1"/>
    <col min="3" max="3" width="16" style="3" customWidth="1"/>
    <col min="4" max="4" width="15.7109375" style="1" customWidth="1"/>
    <col min="5" max="5" width="17.140625" style="1" customWidth="1"/>
    <col min="6" max="6" width="16.42578125" style="1" customWidth="1"/>
    <col min="7" max="10" width="18" style="1" customWidth="1"/>
    <col min="11" max="11" width="16.42578125" style="1" customWidth="1"/>
    <col min="12" max="12" width="18.28515625" style="1" customWidth="1"/>
    <col min="13" max="13" width="14.28515625" style="1" customWidth="1"/>
    <col min="14" max="14" width="14.5703125" style="1" customWidth="1"/>
    <col min="15" max="15" width="15.140625" style="1" customWidth="1"/>
    <col min="16" max="16" width="16.7109375" style="1" hidden="1" customWidth="1"/>
    <col min="17" max="17" width="17.5703125" style="1" customWidth="1"/>
    <col min="18" max="18" width="17.85546875" style="1" hidden="1" customWidth="1"/>
    <col min="19" max="19" width="17.140625" style="1" hidden="1" customWidth="1"/>
    <col min="20" max="20" width="17.7109375" style="1" hidden="1" customWidth="1"/>
    <col min="21" max="21" width="15.85546875" style="1" hidden="1" customWidth="1"/>
    <col min="22" max="22" width="16" style="1" hidden="1" customWidth="1"/>
    <col min="23" max="23" width="13.85546875" style="1" hidden="1" customWidth="1"/>
    <col min="24" max="24" width="16.42578125" style="1" hidden="1" customWidth="1"/>
    <col min="25" max="25" width="16.5703125" style="1" hidden="1" customWidth="1"/>
    <col min="26" max="26" width="13.85546875" style="1" customWidth="1"/>
    <col min="27" max="16384" width="11.42578125" style="1"/>
  </cols>
  <sheetData>
    <row r="1" spans="1:26" ht="61.5" customHeight="1" x14ac:dyDescent="0.2">
      <c r="A1" s="72" t="s">
        <v>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6" ht="16.5" hidden="1" customHeight="1" x14ac:dyDescent="0.2">
      <c r="A2" s="81" t="s">
        <v>0</v>
      </c>
      <c r="B2" s="2"/>
      <c r="C2" s="2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31"/>
      <c r="S2" s="31"/>
    </row>
    <row r="3" spans="1:26" ht="26.25" customHeight="1" x14ac:dyDescent="0.2">
      <c r="A3" s="82"/>
      <c r="B3" s="84" t="s">
        <v>4</v>
      </c>
      <c r="C3" s="84"/>
      <c r="D3" s="80" t="s">
        <v>25</v>
      </c>
      <c r="E3" s="80"/>
      <c r="F3" s="80"/>
      <c r="G3" s="80"/>
      <c r="H3" s="80"/>
      <c r="I3" s="80"/>
      <c r="J3" s="80"/>
      <c r="K3" s="80"/>
      <c r="L3" s="84" t="s">
        <v>5</v>
      </c>
      <c r="M3" s="84"/>
      <c r="N3" s="84"/>
      <c r="O3" s="26" t="s">
        <v>28</v>
      </c>
      <c r="P3" s="76" t="s">
        <v>52</v>
      </c>
      <c r="Q3" s="78" t="s">
        <v>14</v>
      </c>
      <c r="R3" s="78" t="s">
        <v>40</v>
      </c>
      <c r="S3" s="78" t="s">
        <v>39</v>
      </c>
      <c r="V3" s="78" t="s">
        <v>53</v>
      </c>
      <c r="W3" s="78" t="s">
        <v>60</v>
      </c>
    </row>
    <row r="4" spans="1:26" ht="27" x14ac:dyDescent="0.2">
      <c r="A4" s="83"/>
      <c r="B4" s="4" t="s">
        <v>24</v>
      </c>
      <c r="C4" s="4" t="s">
        <v>2</v>
      </c>
      <c r="D4" s="14" t="s">
        <v>22</v>
      </c>
      <c r="E4" s="14" t="s">
        <v>63</v>
      </c>
      <c r="F4" s="4" t="s">
        <v>23</v>
      </c>
      <c r="G4" s="4" t="s">
        <v>26</v>
      </c>
      <c r="H4" s="4" t="s">
        <v>37</v>
      </c>
      <c r="I4" s="4" t="s">
        <v>61</v>
      </c>
      <c r="J4" s="4" t="s">
        <v>62</v>
      </c>
      <c r="K4" s="4" t="s">
        <v>51</v>
      </c>
      <c r="L4" s="4" t="s">
        <v>36</v>
      </c>
      <c r="M4" s="4" t="s">
        <v>45</v>
      </c>
      <c r="N4" s="4" t="s">
        <v>38</v>
      </c>
      <c r="O4" s="15" t="s">
        <v>13</v>
      </c>
      <c r="P4" s="77"/>
      <c r="Q4" s="79"/>
      <c r="R4" s="79"/>
      <c r="S4" s="79"/>
      <c r="V4" s="79"/>
      <c r="W4" s="79"/>
    </row>
    <row r="5" spans="1:26" x14ac:dyDescent="0.2">
      <c r="A5" s="59"/>
      <c r="B5" s="39">
        <v>20944376149.09</v>
      </c>
      <c r="C5" s="39">
        <v>6432463214.5100002</v>
      </c>
      <c r="D5" s="39">
        <v>154239477777.09</v>
      </c>
      <c r="E5" s="39">
        <v>1375612160.6100001</v>
      </c>
      <c r="F5" s="39">
        <v>11499587461.74</v>
      </c>
      <c r="G5" s="39">
        <v>965650720.13</v>
      </c>
      <c r="H5" s="39">
        <v>259264668.09999999</v>
      </c>
      <c r="I5" s="39">
        <v>2138924074</v>
      </c>
      <c r="J5" s="39">
        <v>4726780828</v>
      </c>
      <c r="K5" s="39">
        <v>2000000000</v>
      </c>
      <c r="L5" s="39">
        <v>2060000000</v>
      </c>
      <c r="M5" s="39">
        <v>317174288.06</v>
      </c>
      <c r="N5" s="39">
        <v>66950000</v>
      </c>
      <c r="O5" s="39">
        <v>6570740794.8500004</v>
      </c>
      <c r="P5" s="39"/>
      <c r="Q5" s="39">
        <f>SUM(B5:O5)</f>
        <v>213597002136.17999</v>
      </c>
      <c r="R5" s="58"/>
      <c r="S5" s="58"/>
      <c r="V5" s="39"/>
      <c r="W5" s="39"/>
      <c r="X5" s="1" t="s">
        <v>54</v>
      </c>
      <c r="Y5" s="35">
        <v>300000000</v>
      </c>
    </row>
    <row r="6" spans="1:26" x14ac:dyDescent="0.2">
      <c r="A6" s="59"/>
      <c r="B6" s="39">
        <f>B5-B7-B27-B30-B36-B41</f>
        <v>0</v>
      </c>
      <c r="C6" s="39">
        <f t="shared" ref="C6:Q6" si="0">C5-C7-C27-C30-C36-C41</f>
        <v>0.45800018310546875</v>
      </c>
      <c r="D6" s="39">
        <f t="shared" si="0"/>
        <v>-4190970584.5720191</v>
      </c>
      <c r="E6" s="39">
        <f t="shared" si="0"/>
        <v>0</v>
      </c>
      <c r="F6" s="39">
        <f t="shared" si="0"/>
        <v>-0.26000022888183594</v>
      </c>
      <c r="G6" s="39">
        <f t="shared" si="0"/>
        <v>0</v>
      </c>
      <c r="H6" s="39">
        <f t="shared" si="0"/>
        <v>0</v>
      </c>
      <c r="I6" s="39">
        <f t="shared" si="0"/>
        <v>0</v>
      </c>
      <c r="J6" s="39">
        <f t="shared" si="0"/>
        <v>0</v>
      </c>
      <c r="K6" s="39">
        <f t="shared" si="0"/>
        <v>0</v>
      </c>
      <c r="L6" s="39">
        <f t="shared" si="0"/>
        <v>0</v>
      </c>
      <c r="M6" s="39">
        <f t="shared" si="0"/>
        <v>0</v>
      </c>
      <c r="N6" s="39">
        <f t="shared" si="0"/>
        <v>0</v>
      </c>
      <c r="O6" s="39">
        <f t="shared" si="0"/>
        <v>0</v>
      </c>
      <c r="P6" s="39">
        <f t="shared" si="0"/>
        <v>-207055953356.29453</v>
      </c>
      <c r="Q6" s="39">
        <f t="shared" si="0"/>
        <v>-4190970584.3740311</v>
      </c>
      <c r="R6" s="39">
        <f t="shared" ref="R6:U6" si="1">R5-R7+R27+R30+R36</f>
        <v>-3320016624.2202072</v>
      </c>
      <c r="S6" s="39">
        <f t="shared" si="1"/>
        <v>-59607555137.696983</v>
      </c>
      <c r="T6" s="39">
        <f t="shared" si="1"/>
        <v>18767983673.407501</v>
      </c>
      <c r="U6" s="39">
        <f t="shared" si="1"/>
        <v>20221424921.25</v>
      </c>
      <c r="V6" s="39"/>
      <c r="W6" s="39"/>
      <c r="X6" s="1" t="s">
        <v>56</v>
      </c>
      <c r="Y6" s="35">
        <v>1000000000</v>
      </c>
    </row>
    <row r="7" spans="1:26" ht="20.25" customHeight="1" x14ac:dyDescent="0.2">
      <c r="A7" s="8" t="s">
        <v>6</v>
      </c>
      <c r="B7" s="21">
        <f t="shared" ref="B7:S7" si="2">B8+B19</f>
        <v>8317639108.0900002</v>
      </c>
      <c r="C7" s="21">
        <f t="shared" si="2"/>
        <v>1380017204</v>
      </c>
      <c r="D7" s="21">
        <f t="shared" si="2"/>
        <v>112299227383.17201</v>
      </c>
      <c r="E7" s="21">
        <f t="shared" ref="E7:Q7" si="3">E8+E19</f>
        <v>1375612160.6100001</v>
      </c>
      <c r="F7" s="21">
        <f t="shared" si="3"/>
        <v>3000000000</v>
      </c>
      <c r="G7" s="21">
        <f t="shared" si="3"/>
        <v>965650720.13</v>
      </c>
      <c r="H7" s="21">
        <f t="shared" si="3"/>
        <v>259264668.09999999</v>
      </c>
      <c r="I7" s="21">
        <f t="shared" si="3"/>
        <v>2138924074</v>
      </c>
      <c r="J7" s="21">
        <f t="shared" si="3"/>
        <v>4726780828</v>
      </c>
      <c r="K7" s="21">
        <f t="shared" si="3"/>
        <v>2000000000</v>
      </c>
      <c r="L7" s="21">
        <f t="shared" si="3"/>
        <v>2060000000</v>
      </c>
      <c r="M7" s="21">
        <f t="shared" si="3"/>
        <v>317174288.06</v>
      </c>
      <c r="N7" s="21">
        <f t="shared" si="3"/>
        <v>66950000</v>
      </c>
      <c r="O7" s="21">
        <f t="shared" si="3"/>
        <v>0</v>
      </c>
      <c r="P7" s="21">
        <f t="shared" si="3"/>
        <v>130359600497.49451</v>
      </c>
      <c r="Q7" s="21">
        <f t="shared" si="3"/>
        <v>138907240434.16202</v>
      </c>
      <c r="R7" s="21">
        <f t="shared" si="2"/>
        <v>12373442346.30921</v>
      </c>
      <c r="S7" s="21">
        <f t="shared" si="2"/>
        <v>125992844281.99998</v>
      </c>
      <c r="V7" s="21">
        <f t="shared" ref="V7:W7" si="4">V8+V19</f>
        <v>-9805515573.4680443</v>
      </c>
      <c r="W7" s="21">
        <f t="shared" si="4"/>
        <v>5122730417.5869999</v>
      </c>
      <c r="X7" s="1" t="s">
        <v>57</v>
      </c>
      <c r="Y7" s="35">
        <v>700000000</v>
      </c>
    </row>
    <row r="8" spans="1:26" x14ac:dyDescent="0.2">
      <c r="A8" s="9" t="s">
        <v>7</v>
      </c>
      <c r="B8" s="19">
        <f t="shared" ref="B8:D8" si="5">B9+B13</f>
        <v>3406718455.9200001</v>
      </c>
      <c r="C8" s="19">
        <f t="shared" si="5"/>
        <v>0</v>
      </c>
      <c r="D8" s="19">
        <f t="shared" si="5"/>
        <v>87149742061.51001</v>
      </c>
      <c r="E8" s="19">
        <f t="shared" ref="E8:Q8" si="6">E9+E13</f>
        <v>1375612160.6100001</v>
      </c>
      <c r="F8" s="19">
        <f t="shared" si="6"/>
        <v>2000000000</v>
      </c>
      <c r="G8" s="19">
        <f t="shared" si="6"/>
        <v>0</v>
      </c>
      <c r="H8" s="19">
        <f t="shared" si="6"/>
        <v>259264668.09999999</v>
      </c>
      <c r="I8" s="19">
        <f t="shared" si="6"/>
        <v>2138924074</v>
      </c>
      <c r="J8" s="19">
        <f t="shared" si="6"/>
        <v>4726780828</v>
      </c>
      <c r="K8" s="19">
        <f t="shared" si="6"/>
        <v>2000000000</v>
      </c>
      <c r="L8" s="19">
        <f t="shared" si="6"/>
        <v>0</v>
      </c>
      <c r="M8" s="19">
        <f t="shared" si="6"/>
        <v>0</v>
      </c>
      <c r="N8" s="19">
        <f t="shared" si="6"/>
        <v>0</v>
      </c>
      <c r="O8" s="19">
        <f t="shared" si="6"/>
        <v>0</v>
      </c>
      <c r="P8" s="19">
        <f t="shared" si="6"/>
        <v>99046795566.807663</v>
      </c>
      <c r="Q8" s="19">
        <f t="shared" si="6"/>
        <v>103057042248.14001</v>
      </c>
      <c r="R8" s="19">
        <f>R9+R13</f>
        <v>5612405965.0900097</v>
      </c>
      <c r="S8" s="19">
        <f>S9+S13</f>
        <v>97444636283.049988</v>
      </c>
      <c r="V8" s="19">
        <f>V9+V13</f>
        <v>-4010246681.3323441</v>
      </c>
      <c r="W8" s="19">
        <f>W9+W13</f>
        <v>5122730417.5869999</v>
      </c>
      <c r="X8" s="1" t="s">
        <v>58</v>
      </c>
      <c r="Y8" s="35">
        <v>2200000000</v>
      </c>
    </row>
    <row r="9" spans="1:26" ht="24.75" customHeight="1" x14ac:dyDescent="0.2">
      <c r="A9" s="10" t="s">
        <v>29</v>
      </c>
      <c r="B9" s="20">
        <f t="shared" ref="B9:D9" si="7">SUM(B10:B12)</f>
        <v>3406718455.9200001</v>
      </c>
      <c r="C9" s="20">
        <f>SUM(C10:C12)</f>
        <v>0</v>
      </c>
      <c r="D9" s="20">
        <f t="shared" si="7"/>
        <v>68338659779.150009</v>
      </c>
      <c r="E9" s="20">
        <f t="shared" ref="E9:Q9" si="8">SUM(E10:E12)</f>
        <v>0</v>
      </c>
      <c r="F9" s="20">
        <f t="shared" si="8"/>
        <v>0</v>
      </c>
      <c r="G9" s="20">
        <f t="shared" si="8"/>
        <v>0</v>
      </c>
      <c r="H9" s="20">
        <f t="shared" si="8"/>
        <v>0</v>
      </c>
      <c r="I9" s="20">
        <f t="shared" si="8"/>
        <v>0</v>
      </c>
      <c r="J9" s="20">
        <f t="shared" si="8"/>
        <v>4726780828</v>
      </c>
      <c r="K9" s="20">
        <f t="shared" si="8"/>
        <v>2000000000</v>
      </c>
      <c r="L9" s="20">
        <f t="shared" si="8"/>
        <v>0</v>
      </c>
      <c r="M9" s="20">
        <f t="shared" si="8"/>
        <v>0</v>
      </c>
      <c r="N9" s="20">
        <f t="shared" si="8"/>
        <v>0</v>
      </c>
      <c r="O9" s="20">
        <f t="shared" si="8"/>
        <v>0</v>
      </c>
      <c r="P9" s="20">
        <f t="shared" si="8"/>
        <v>74178317604.967667</v>
      </c>
      <c r="Q9" s="20">
        <f t="shared" si="8"/>
        <v>78472159063.070007</v>
      </c>
      <c r="R9" s="20">
        <f>SUM(R10:R12)</f>
        <v>6091649796.6200066</v>
      </c>
      <c r="S9" s="20">
        <f>SUM(S10:S12)</f>
        <v>72380509266.449997</v>
      </c>
      <c r="V9" s="20">
        <f>SUM(V10:V12)</f>
        <v>-4293841458.1023393</v>
      </c>
      <c r="W9" s="20">
        <f>SUM(W10:W12)</f>
        <v>3122730417.5869999</v>
      </c>
      <c r="X9" s="1" t="s">
        <v>55</v>
      </c>
      <c r="Y9" s="35">
        <v>922730417.58700001</v>
      </c>
    </row>
    <row r="10" spans="1:26" s="29" customFormat="1" hidden="1" outlineLevel="1" x14ac:dyDescent="0.2">
      <c r="A10" s="37" t="s">
        <v>30</v>
      </c>
      <c r="B10" s="39"/>
      <c r="C10" s="39"/>
      <c r="D10" s="39">
        <f>(76517672603*1.05)-4726780828-2000000000-5278115626</f>
        <v>68338659779.150009</v>
      </c>
      <c r="E10" s="39"/>
      <c r="F10" s="63"/>
      <c r="G10" s="38"/>
      <c r="H10" s="38"/>
      <c r="I10" s="38"/>
      <c r="J10" s="39">
        <v>4726780828</v>
      </c>
      <c r="K10" s="39">
        <v>2000000000</v>
      </c>
      <c r="L10" s="38"/>
      <c r="M10" s="38"/>
      <c r="N10" s="38"/>
      <c r="O10" s="38"/>
      <c r="P10" s="39">
        <v>71592753745.76767</v>
      </c>
      <c r="Q10" s="39">
        <f>SUM(B10:O10)</f>
        <v>75065440607.150009</v>
      </c>
      <c r="R10" s="40">
        <f>Q10-S10</f>
        <v>6001744486.8500061</v>
      </c>
      <c r="S10" s="39">
        <v>69063696120.300003</v>
      </c>
      <c r="T10" s="41">
        <f>S10*1.05</f>
        <v>72516880926.315002</v>
      </c>
      <c r="U10" s="41">
        <v>69063696120.300003</v>
      </c>
      <c r="V10" s="39">
        <f>P10-Q10</f>
        <v>-3472686861.3823395</v>
      </c>
      <c r="W10" s="39">
        <v>3122730417.5869999</v>
      </c>
      <c r="X10" s="29" t="s">
        <v>59</v>
      </c>
      <c r="Y10" s="41">
        <v>5122730417.5869999</v>
      </c>
    </row>
    <row r="11" spans="1:26" s="29" customFormat="1" hidden="1" outlineLevel="1" x14ac:dyDescent="0.2">
      <c r="A11" s="37" t="s">
        <v>31</v>
      </c>
      <c r="B11" s="39">
        <f>3275690823*1.04</f>
        <v>3406718455.9200001</v>
      </c>
      <c r="C11" s="48"/>
      <c r="D11" s="48"/>
      <c r="E11" s="69"/>
      <c r="F11" s="39"/>
      <c r="G11" s="38"/>
      <c r="H11" s="38"/>
      <c r="I11" s="38"/>
      <c r="J11" s="38"/>
      <c r="K11" s="38"/>
      <c r="L11" s="38"/>
      <c r="M11" s="38"/>
      <c r="N11" s="38"/>
      <c r="O11" s="38"/>
      <c r="P11" s="39">
        <v>2585563859.2000003</v>
      </c>
      <c r="Q11" s="39">
        <f>SUM(B11:O11)</f>
        <v>3406718455.9200001</v>
      </c>
      <c r="R11" s="40">
        <f t="shared" ref="R11" si="9">Q11-S11</f>
        <v>89905309.769999981</v>
      </c>
      <c r="S11" s="39">
        <v>3316813146.1500001</v>
      </c>
      <c r="T11" s="41">
        <f>S11*1.05</f>
        <v>3482653803.4575005</v>
      </c>
      <c r="U11" s="41">
        <v>3265960260.1500001</v>
      </c>
      <c r="V11" s="39">
        <f>P11-Q11</f>
        <v>-821154596.71999979</v>
      </c>
      <c r="W11" s="39"/>
    </row>
    <row r="12" spans="1:26" collapsed="1" x14ac:dyDescent="0.2">
      <c r="A12" s="11"/>
      <c r="B12" s="39"/>
      <c r="C12" s="17"/>
      <c r="D12" s="17"/>
      <c r="E12" s="69"/>
      <c r="F12" s="17"/>
      <c r="G12" s="22"/>
      <c r="H12" s="22"/>
      <c r="I12" s="22"/>
      <c r="J12" s="22"/>
      <c r="K12" s="5"/>
      <c r="L12" s="5"/>
      <c r="M12" s="5"/>
      <c r="N12" s="5"/>
      <c r="O12" s="5"/>
      <c r="P12" s="17"/>
      <c r="Q12" s="17"/>
      <c r="R12" s="32"/>
      <c r="S12" s="17"/>
      <c r="T12" s="35"/>
      <c r="U12" s="35"/>
      <c r="V12" s="17"/>
      <c r="W12" s="17"/>
    </row>
    <row r="13" spans="1:26" x14ac:dyDescent="0.2">
      <c r="A13" s="10" t="s">
        <v>17</v>
      </c>
      <c r="B13" s="20">
        <f t="shared" ref="B13:Q13" si="10">SUM(B14:B18)</f>
        <v>0</v>
      </c>
      <c r="C13" s="20">
        <f t="shared" si="10"/>
        <v>0</v>
      </c>
      <c r="D13" s="20">
        <f t="shared" si="10"/>
        <v>18811082282.360001</v>
      </c>
      <c r="E13" s="20">
        <f t="shared" si="10"/>
        <v>1375612160.6100001</v>
      </c>
      <c r="F13" s="20">
        <f t="shared" si="10"/>
        <v>2000000000</v>
      </c>
      <c r="G13" s="20">
        <f t="shared" si="10"/>
        <v>0</v>
      </c>
      <c r="H13" s="20">
        <f t="shared" si="10"/>
        <v>259264668.09999999</v>
      </c>
      <c r="I13" s="20">
        <f t="shared" si="10"/>
        <v>2138924074</v>
      </c>
      <c r="J13" s="20">
        <f t="shared" si="10"/>
        <v>0</v>
      </c>
      <c r="K13" s="20">
        <f t="shared" si="10"/>
        <v>0</v>
      </c>
      <c r="L13" s="20">
        <f t="shared" si="10"/>
        <v>0</v>
      </c>
      <c r="M13" s="20">
        <f t="shared" si="10"/>
        <v>0</v>
      </c>
      <c r="N13" s="20">
        <f t="shared" si="10"/>
        <v>0</v>
      </c>
      <c r="O13" s="20">
        <f t="shared" si="10"/>
        <v>0</v>
      </c>
      <c r="P13" s="20">
        <f t="shared" si="10"/>
        <v>24868477961.84</v>
      </c>
      <c r="Q13" s="20">
        <f t="shared" si="10"/>
        <v>24584883185.070004</v>
      </c>
      <c r="R13" s="20">
        <f>SUM(R14:R18)</f>
        <v>-479243831.5299964</v>
      </c>
      <c r="S13" s="20">
        <f>SUM(S14:S18)</f>
        <v>25064127016.599998</v>
      </c>
      <c r="T13" s="35"/>
      <c r="U13" s="35"/>
      <c r="V13" s="20">
        <f>SUM(V14:V18)</f>
        <v>283594776.76999521</v>
      </c>
      <c r="W13" s="20">
        <f>SUM(W14:W18)</f>
        <v>2000000000</v>
      </c>
    </row>
    <row r="14" spans="1:26" s="29" customFormat="1" hidden="1" outlineLevel="1" x14ac:dyDescent="0.2">
      <c r="A14" s="42" t="s">
        <v>15</v>
      </c>
      <c r="B14" s="39"/>
      <c r="C14" s="39"/>
      <c r="D14" s="39">
        <f>(1466491944*1.04)-331583952</f>
        <v>1193567669.76</v>
      </c>
      <c r="E14" s="39"/>
      <c r="F14" s="63"/>
      <c r="G14" s="63"/>
      <c r="H14" s="63"/>
      <c r="I14" s="63"/>
      <c r="J14" s="63"/>
      <c r="K14" s="39"/>
      <c r="L14" s="38"/>
      <c r="M14" s="38"/>
      <c r="N14" s="38"/>
      <c r="O14" s="38"/>
      <c r="P14" s="39">
        <v>1807986600.1600001</v>
      </c>
      <c r="Q14" s="39">
        <f>SUM(B14:O14)</f>
        <v>1193567669.76</v>
      </c>
      <c r="R14" s="39">
        <f t="shared" ref="R14:R18" si="11">Q14-S14</f>
        <v>166372743.65999997</v>
      </c>
      <c r="S14" s="39">
        <v>1027194926.1</v>
      </c>
      <c r="T14" s="41">
        <f t="shared" ref="T14:T22" si="12">S14*1.05</f>
        <v>1078554672.405</v>
      </c>
      <c r="U14" s="41">
        <v>1027194926.1</v>
      </c>
      <c r="V14" s="39">
        <f t="shared" ref="V14:V18" si="13">P14-Q14</f>
        <v>614418930.4000001</v>
      </c>
      <c r="W14" s="39">
        <v>300000000</v>
      </c>
    </row>
    <row r="15" spans="1:26" s="53" customFormat="1" ht="16.5" hidden="1" customHeight="1" outlineLevel="1" x14ac:dyDescent="0.2">
      <c r="A15" s="12" t="s">
        <v>16</v>
      </c>
      <c r="B15" s="17"/>
      <c r="C15" s="17"/>
      <c r="D15" s="17">
        <f>(18494696540*1.04)-259264668-2138924074-1375612161-1250000000-2000000000</f>
        <v>12210683498.600002</v>
      </c>
      <c r="E15" s="17">
        <v>1375612160.6100001</v>
      </c>
      <c r="F15" s="17">
        <v>2000000000</v>
      </c>
      <c r="G15" s="22"/>
      <c r="H15" s="22">
        <v>259264668.09999999</v>
      </c>
      <c r="I15" s="22">
        <v>2138924074</v>
      </c>
      <c r="J15" s="22"/>
      <c r="K15" s="68"/>
      <c r="L15" s="17"/>
      <c r="M15" s="5"/>
      <c r="N15" s="5"/>
      <c r="O15" s="5"/>
      <c r="P15" s="17">
        <v>16360491361.68</v>
      </c>
      <c r="Q15" s="17">
        <f>SUM(B15:O15)</f>
        <v>17984484401.310005</v>
      </c>
      <c r="R15" s="17">
        <f t="shared" si="11"/>
        <v>-239732992.58999634</v>
      </c>
      <c r="S15" s="17">
        <v>18224217393.900002</v>
      </c>
      <c r="T15" s="54">
        <f t="shared" si="12"/>
        <v>19135428263.595001</v>
      </c>
      <c r="U15" s="54">
        <v>18224217393.900002</v>
      </c>
      <c r="V15" s="17">
        <f t="shared" si="13"/>
        <v>-1623993039.6300049</v>
      </c>
      <c r="W15" s="17">
        <v>1000000000</v>
      </c>
      <c r="Z15" s="64">
        <f>Y8+Y9</f>
        <v>3122730417.5869999</v>
      </c>
    </row>
    <row r="16" spans="1:26" s="53" customFormat="1" hidden="1" outlineLevel="1" x14ac:dyDescent="0.2">
      <c r="A16" s="12" t="s">
        <v>18</v>
      </c>
      <c r="B16" s="17"/>
      <c r="C16" s="17"/>
      <c r="D16" s="39">
        <v>800000000</v>
      </c>
      <c r="E16" s="17"/>
      <c r="F16" s="17"/>
      <c r="G16" s="5"/>
      <c r="H16" s="5"/>
      <c r="I16" s="5"/>
      <c r="J16" s="5"/>
      <c r="K16" s="17"/>
      <c r="L16" s="5"/>
      <c r="M16" s="5"/>
      <c r="N16" s="5"/>
      <c r="O16" s="5"/>
      <c r="P16" s="17">
        <v>500000000</v>
      </c>
      <c r="Q16" s="17">
        <f>SUM(B16:O16)</f>
        <v>800000000</v>
      </c>
      <c r="R16" s="32">
        <f t="shared" si="11"/>
        <v>-148149994.75</v>
      </c>
      <c r="S16" s="17">
        <v>948149994.75</v>
      </c>
      <c r="T16" s="54">
        <f t="shared" si="12"/>
        <v>995557494.48750007</v>
      </c>
      <c r="U16" s="54">
        <v>948149994.75</v>
      </c>
      <c r="V16" s="17">
        <f t="shared" si="13"/>
        <v>-300000000</v>
      </c>
      <c r="W16" s="17"/>
    </row>
    <row r="17" spans="1:25" s="53" customFormat="1" hidden="1" outlineLevel="1" x14ac:dyDescent="0.2">
      <c r="A17" s="12" t="s">
        <v>32</v>
      </c>
      <c r="B17" s="17"/>
      <c r="C17" s="17"/>
      <c r="D17" s="17">
        <f>5000000000-705168886</f>
        <v>4294831114</v>
      </c>
      <c r="E17" s="17"/>
      <c r="F17" s="22"/>
      <c r="G17" s="17"/>
      <c r="H17" s="17"/>
      <c r="I17" s="17"/>
      <c r="J17" s="17"/>
      <c r="K17" s="17"/>
      <c r="L17" s="5"/>
      <c r="M17" s="5"/>
      <c r="N17" s="5"/>
      <c r="O17" s="5"/>
      <c r="P17" s="17">
        <v>6000000000</v>
      </c>
      <c r="Q17" s="17">
        <f>SUM(B17:O17)</f>
        <v>4294831114</v>
      </c>
      <c r="R17" s="32">
        <f t="shared" si="11"/>
        <v>-229260192</v>
      </c>
      <c r="S17" s="17">
        <v>4524091306</v>
      </c>
      <c r="T17" s="54">
        <f t="shared" si="12"/>
        <v>4750295871.3000002</v>
      </c>
      <c r="U17" s="54">
        <v>6281316397.6500006</v>
      </c>
      <c r="V17" s="17">
        <f t="shared" si="13"/>
        <v>1705168886</v>
      </c>
      <c r="W17" s="17">
        <v>700000000</v>
      </c>
    </row>
    <row r="18" spans="1:25" s="29" customFormat="1" hidden="1" outlineLevel="1" x14ac:dyDescent="0.2">
      <c r="A18" s="42" t="s">
        <v>1</v>
      </c>
      <c r="B18" s="39"/>
      <c r="C18" s="39"/>
      <c r="D18" s="39">
        <v>312000000</v>
      </c>
      <c r="E18" s="39"/>
      <c r="F18" s="38"/>
      <c r="G18" s="38"/>
      <c r="H18" s="38"/>
      <c r="I18" s="38"/>
      <c r="J18" s="38"/>
      <c r="K18" s="39"/>
      <c r="L18" s="38"/>
      <c r="M18" s="38"/>
      <c r="N18" s="38"/>
      <c r="O18" s="38"/>
      <c r="P18" s="39">
        <v>200000000</v>
      </c>
      <c r="Q18" s="39">
        <f>SUM(B18:O18)</f>
        <v>312000000</v>
      </c>
      <c r="R18" s="40">
        <f t="shared" si="11"/>
        <v>-28473395.850000024</v>
      </c>
      <c r="S18" s="39">
        <v>340473395.85000002</v>
      </c>
      <c r="T18" s="41">
        <f t="shared" si="12"/>
        <v>357497065.64250004</v>
      </c>
      <c r="U18" s="41">
        <v>340473395.85000002</v>
      </c>
      <c r="V18" s="39">
        <f t="shared" si="13"/>
        <v>-112000000</v>
      </c>
      <c r="W18" s="39"/>
    </row>
    <row r="19" spans="1:25" collapsed="1" x14ac:dyDescent="0.2">
      <c r="A19" s="9" t="s">
        <v>8</v>
      </c>
      <c r="B19" s="19">
        <f t="shared" ref="B19:P19" si="14">SUM(B20:B26)</f>
        <v>4910920652.1700001</v>
      </c>
      <c r="C19" s="19">
        <f t="shared" si="14"/>
        <v>1380017204</v>
      </c>
      <c r="D19" s="19">
        <f t="shared" si="14"/>
        <v>25149485321.661999</v>
      </c>
      <c r="E19" s="19">
        <f t="shared" si="14"/>
        <v>0</v>
      </c>
      <c r="F19" s="19">
        <f t="shared" si="14"/>
        <v>1000000000</v>
      </c>
      <c r="G19" s="19">
        <f t="shared" si="14"/>
        <v>965650720.13</v>
      </c>
      <c r="H19" s="19"/>
      <c r="I19" s="19"/>
      <c r="J19" s="19"/>
      <c r="K19" s="19">
        <f t="shared" si="14"/>
        <v>0</v>
      </c>
      <c r="L19" s="19">
        <f t="shared" si="14"/>
        <v>2060000000</v>
      </c>
      <c r="M19" s="19">
        <f t="shared" si="14"/>
        <v>317174288.06</v>
      </c>
      <c r="N19" s="19">
        <f t="shared" si="14"/>
        <v>66950000</v>
      </c>
      <c r="O19" s="19">
        <f t="shared" si="14"/>
        <v>0</v>
      </c>
      <c r="P19" s="19">
        <f t="shared" si="14"/>
        <v>31312804930.686852</v>
      </c>
      <c r="Q19" s="19">
        <f>SUM(Q20:Q26)</f>
        <v>35850198186.021996</v>
      </c>
      <c r="R19" s="19">
        <f t="shared" ref="R19:S19" si="15">SUM(R20:R24)</f>
        <v>6761036381.2192001</v>
      </c>
      <c r="S19" s="19">
        <f t="shared" si="15"/>
        <v>28548207998.949997</v>
      </c>
      <c r="V19" s="19">
        <f t="shared" ref="V19:W19" si="16">SUM(V20:V24)</f>
        <v>-5795268892.1357002</v>
      </c>
      <c r="W19" s="19">
        <f t="shared" si="16"/>
        <v>0</v>
      </c>
    </row>
    <row r="20" spans="1:25" hidden="1" outlineLevel="1" x14ac:dyDescent="0.2">
      <c r="A20" s="12" t="s">
        <v>19</v>
      </c>
      <c r="B20" s="18"/>
      <c r="C20" s="62"/>
      <c r="D20" s="18">
        <f>1485000000*1.03</f>
        <v>1529550000</v>
      </c>
      <c r="E20" s="18"/>
      <c r="F20" s="6"/>
      <c r="G20" s="6"/>
      <c r="H20" s="6"/>
      <c r="I20" s="6"/>
      <c r="J20" s="6"/>
      <c r="K20" s="6"/>
      <c r="L20" s="18"/>
      <c r="M20" s="6"/>
      <c r="N20" s="18"/>
      <c r="O20" s="6"/>
      <c r="P20" s="18">
        <v>1790678272.8500001</v>
      </c>
      <c r="Q20" s="18">
        <f t="shared" ref="Q20:Q26" si="17">SUM(B20:O20)</f>
        <v>1529550000</v>
      </c>
      <c r="R20" s="33">
        <f t="shared" ref="R20:R24" si="18">Q20-S20</f>
        <v>-63065383.799999952</v>
      </c>
      <c r="S20" s="18">
        <v>1592615383.8</v>
      </c>
      <c r="T20" s="35">
        <f t="shared" si="12"/>
        <v>1672246152.99</v>
      </c>
      <c r="U20" s="1">
        <v>1592615383.8</v>
      </c>
      <c r="V20" s="18">
        <f t="shared" ref="V20:V25" si="19">P20-Q20</f>
        <v>261128272.85000014</v>
      </c>
      <c r="W20" s="18"/>
      <c r="X20" s="36">
        <f>P19-X21</f>
        <v>-2937062260.3799629</v>
      </c>
      <c r="Y20" s="36">
        <f>Q19-P26</f>
        <v>34556176746.021996</v>
      </c>
    </row>
    <row r="21" spans="1:25" s="53" customFormat="1" hidden="1" outlineLevel="1" x14ac:dyDescent="0.2">
      <c r="A21" s="12" t="s">
        <v>20</v>
      </c>
      <c r="B21" s="18"/>
      <c r="C21" s="51">
        <f>803779794+576237410</f>
        <v>1380017204</v>
      </c>
      <c r="D21" s="52">
        <f>(13905593409*1.03)-1380017204-2060000000-317174288-1000000000</f>
        <v>9565569719.2700005</v>
      </c>
      <c r="E21" s="52"/>
      <c r="F21" s="18">
        <v>1000000000</v>
      </c>
      <c r="G21" s="6"/>
      <c r="H21" s="6"/>
      <c r="I21" s="6"/>
      <c r="J21" s="6"/>
      <c r="K21" s="6"/>
      <c r="L21" s="18">
        <v>2060000000</v>
      </c>
      <c r="M21" s="18">
        <v>317174288.06</v>
      </c>
      <c r="O21" s="6"/>
      <c r="P21" s="18">
        <v>12507295420.889999</v>
      </c>
      <c r="Q21" s="18">
        <f t="shared" si="17"/>
        <v>14322761211.33</v>
      </c>
      <c r="R21" s="33">
        <f t="shared" si="18"/>
        <v>1206200871.9300003</v>
      </c>
      <c r="S21" s="18">
        <v>13116560339.4</v>
      </c>
      <c r="T21" s="54">
        <f t="shared" si="12"/>
        <v>13772388356.370001</v>
      </c>
      <c r="U21" s="53">
        <v>13116560339.4</v>
      </c>
      <c r="V21" s="18">
        <f t="shared" si="19"/>
        <v>-1815465790.4400005</v>
      </c>
      <c r="W21" s="18"/>
      <c r="X21" s="54">
        <v>34249867191.066814</v>
      </c>
    </row>
    <row r="22" spans="1:25" s="53" customFormat="1" hidden="1" outlineLevel="1" x14ac:dyDescent="0.2">
      <c r="A22" s="55" t="s">
        <v>9</v>
      </c>
      <c r="B22" s="52">
        <v>2836330374.6700001</v>
      </c>
      <c r="C22" s="51"/>
      <c r="D22" s="52">
        <v>2163815223.4112</v>
      </c>
      <c r="E22" s="52"/>
      <c r="F22" s="52"/>
      <c r="G22" s="52">
        <v>965650720.13</v>
      </c>
      <c r="H22" s="52"/>
      <c r="I22" s="52"/>
      <c r="J22" s="52"/>
      <c r="K22" s="56"/>
      <c r="L22" s="18"/>
      <c r="M22" s="18"/>
      <c r="N22" s="18">
        <v>66950000</v>
      </c>
      <c r="O22" s="56"/>
      <c r="P22" s="52">
        <v>5083602088</v>
      </c>
      <c r="Q22" s="52">
        <f t="shared" si="17"/>
        <v>6032746318.2111998</v>
      </c>
      <c r="R22" s="57">
        <f t="shared" si="18"/>
        <v>982796318.21119976</v>
      </c>
      <c r="S22" s="52">
        <f>5549950000-500000000</f>
        <v>5049950000</v>
      </c>
      <c r="T22" s="54">
        <f t="shared" si="12"/>
        <v>5302447500</v>
      </c>
      <c r="U22" s="53">
        <v>5274339928.1999998</v>
      </c>
      <c r="V22" s="52">
        <f t="shared" si="19"/>
        <v>-949144230.21119976</v>
      </c>
      <c r="W22" s="52"/>
    </row>
    <row r="23" spans="1:25" s="53" customFormat="1" hidden="1" outlineLevel="1" x14ac:dyDescent="0.2">
      <c r="A23" s="55" t="s">
        <v>41</v>
      </c>
      <c r="B23" s="52">
        <v>2074590277.5</v>
      </c>
      <c r="C23" s="52"/>
      <c r="D23" s="52">
        <f>(7781212420*1.03)-2074590278</f>
        <v>5940058514.6000004</v>
      </c>
      <c r="E23" s="52"/>
      <c r="F23" s="56"/>
      <c r="G23" s="52"/>
      <c r="H23" s="52"/>
      <c r="I23" s="52"/>
      <c r="J23" s="52"/>
      <c r="K23" s="56"/>
      <c r="L23" s="18"/>
      <c r="M23" s="18"/>
      <c r="N23" s="18"/>
      <c r="O23" s="56"/>
      <c r="P23" s="52">
        <v>5584319679.7600002</v>
      </c>
      <c r="Q23" s="52">
        <f t="shared" si="17"/>
        <v>8014648792.1000004</v>
      </c>
      <c r="R23" s="57">
        <f t="shared" si="18"/>
        <v>2844949053.0500002</v>
      </c>
      <c r="S23" s="52">
        <v>5169699739.0500002</v>
      </c>
      <c r="T23" s="54">
        <f>S23*1.05</f>
        <v>5428184726.0025005</v>
      </c>
      <c r="U23" s="53">
        <v>5169699739.0500002</v>
      </c>
      <c r="V23" s="52">
        <f t="shared" si="19"/>
        <v>-2430329112.3400002</v>
      </c>
      <c r="W23" s="52"/>
    </row>
    <row r="24" spans="1:25" s="29" customFormat="1" hidden="1" outlineLevel="1" x14ac:dyDescent="0.2">
      <c r="A24" s="43" t="s">
        <v>46</v>
      </c>
      <c r="B24" s="44"/>
      <c r="C24" s="44"/>
      <c r="D24" s="44">
        <v>5409538058.5279999</v>
      </c>
      <c r="E24" s="44"/>
      <c r="F24" s="65"/>
      <c r="G24" s="48"/>
      <c r="H24" s="48"/>
      <c r="I24" s="48"/>
      <c r="J24" s="48"/>
      <c r="K24" s="45"/>
      <c r="L24" s="46"/>
      <c r="M24" s="46"/>
      <c r="N24" s="48"/>
      <c r="O24" s="45"/>
      <c r="P24" s="44">
        <v>4548080026.5334997</v>
      </c>
      <c r="Q24" s="52">
        <f t="shared" si="17"/>
        <v>5409538058.5279999</v>
      </c>
      <c r="R24" s="47">
        <f t="shared" si="18"/>
        <v>1790155521.8280001</v>
      </c>
      <c r="S24" s="44">
        <v>3619382536.6999998</v>
      </c>
      <c r="V24" s="44">
        <f t="shared" si="19"/>
        <v>-861458031.99450016</v>
      </c>
      <c r="W24" s="44"/>
    </row>
    <row r="25" spans="1:25" s="29" customFormat="1" hidden="1" outlineLevel="1" x14ac:dyDescent="0.2">
      <c r="A25" s="43" t="s">
        <v>47</v>
      </c>
      <c r="B25" s="44"/>
      <c r="C25" s="44"/>
      <c r="D25" s="44">
        <v>540953805.85280001</v>
      </c>
      <c r="E25" s="44"/>
      <c r="F25" s="45"/>
      <c r="G25" s="48"/>
      <c r="H25" s="48"/>
      <c r="I25" s="48"/>
      <c r="J25" s="48"/>
      <c r="K25" s="45"/>
      <c r="L25" s="46"/>
      <c r="M25" s="46"/>
      <c r="N25" s="48"/>
      <c r="O25" s="45"/>
      <c r="P25" s="44">
        <v>504808002.65335</v>
      </c>
      <c r="Q25" s="52">
        <f t="shared" si="17"/>
        <v>540953805.85280001</v>
      </c>
      <c r="R25" s="47">
        <f t="shared" ref="R25" si="20">Q25-S25</f>
        <v>77097220.097299993</v>
      </c>
      <c r="S25" s="44">
        <v>463856585.75550002</v>
      </c>
      <c r="V25" s="44">
        <f t="shared" si="19"/>
        <v>-36145803.199450016</v>
      </c>
      <c r="W25" s="44"/>
      <c r="X25" s="66">
        <f>Q24+P38</f>
        <v>5909538058.5279999</v>
      </c>
    </row>
    <row r="26" spans="1:25" s="29" customFormat="1" hidden="1" outlineLevel="1" x14ac:dyDescent="0.2">
      <c r="A26" s="43"/>
      <c r="B26" s="44"/>
      <c r="C26" s="44"/>
      <c r="D26" s="44"/>
      <c r="E26" s="44"/>
      <c r="F26" s="45"/>
      <c r="G26" s="48"/>
      <c r="H26" s="48"/>
      <c r="I26" s="48"/>
      <c r="J26" s="48"/>
      <c r="K26" s="45"/>
      <c r="L26" s="46"/>
      <c r="M26" s="46"/>
      <c r="N26" s="48"/>
      <c r="O26" s="45"/>
      <c r="P26" s="44">
        <v>1294021440</v>
      </c>
      <c r="Q26" s="52">
        <f t="shared" si="17"/>
        <v>0</v>
      </c>
      <c r="R26" s="47"/>
      <c r="S26" s="44"/>
      <c r="V26" s="44"/>
      <c r="W26" s="44"/>
    </row>
    <row r="27" spans="1:25" ht="21.75" customHeight="1" collapsed="1" x14ac:dyDescent="0.2">
      <c r="A27" s="8" t="s">
        <v>3</v>
      </c>
      <c r="B27" s="16">
        <f>SUM(B28:B29)</f>
        <v>0</v>
      </c>
      <c r="C27" s="16">
        <f t="shared" ref="C27:S27" si="21">SUM(C28:C29)</f>
        <v>0</v>
      </c>
      <c r="D27" s="16">
        <f>SUM(D28:D29)</f>
        <v>44127074404.300003</v>
      </c>
      <c r="E27" s="16"/>
      <c r="F27" s="16">
        <f t="shared" si="21"/>
        <v>2299917492.4000001</v>
      </c>
      <c r="G27" s="16">
        <f t="shared" si="21"/>
        <v>0</v>
      </c>
      <c r="H27" s="16"/>
      <c r="I27" s="16"/>
      <c r="J27" s="16"/>
      <c r="K27" s="16">
        <f t="shared" si="21"/>
        <v>0</v>
      </c>
      <c r="L27" s="16">
        <f t="shared" si="21"/>
        <v>0</v>
      </c>
      <c r="M27" s="16"/>
      <c r="N27" s="16"/>
      <c r="O27" s="16">
        <f>SUM(O28:O29)</f>
        <v>0</v>
      </c>
      <c r="P27" s="16">
        <f>SUM(P28:P29)</f>
        <v>44947535730.510002</v>
      </c>
      <c r="Q27" s="16">
        <f>SUM(Q28:Q29)</f>
        <v>46426991896.700005</v>
      </c>
      <c r="R27" s="16">
        <f t="shared" si="21"/>
        <v>3150463035.0165033</v>
      </c>
      <c r="S27" s="16">
        <f t="shared" si="21"/>
        <v>43276528861.683502</v>
      </c>
      <c r="V27" s="16">
        <f t="shared" ref="V27:W27" si="22">SUM(V28:V29)</f>
        <v>-1479456166.1900034</v>
      </c>
      <c r="W27" s="16">
        <f t="shared" si="22"/>
        <v>0</v>
      </c>
    </row>
    <row r="28" spans="1:25" hidden="1" outlineLevel="1" x14ac:dyDescent="0.2">
      <c r="A28" s="12" t="s">
        <v>10</v>
      </c>
      <c r="B28" s="18"/>
      <c r="C28" s="18"/>
      <c r="D28" s="70">
        <f>80101332*1.03</f>
        <v>82504371.960000008</v>
      </c>
      <c r="E28" s="35"/>
      <c r="F28" s="6"/>
      <c r="G28" s="6"/>
      <c r="H28" s="6"/>
      <c r="I28" s="6"/>
      <c r="J28" s="6"/>
      <c r="K28" s="6"/>
      <c r="L28" s="6"/>
      <c r="M28" s="6"/>
      <c r="N28" s="6"/>
      <c r="O28" s="6"/>
      <c r="P28" s="18">
        <v>76533351.75</v>
      </c>
      <c r="Q28" s="18">
        <f>SUM(B28:O28)</f>
        <v>82504371.960000008</v>
      </c>
      <c r="R28" s="33">
        <f t="shared" ref="R28:R29" si="23">Q28-S28</f>
        <v>20134371.960000008</v>
      </c>
      <c r="S28" s="18">
        <v>62370000</v>
      </c>
      <c r="T28" s="35">
        <f t="shared" ref="T28:T34" si="24">S28*1.05</f>
        <v>65488500</v>
      </c>
      <c r="U28" s="1">
        <v>63000000</v>
      </c>
      <c r="V28" s="18">
        <f t="shared" ref="V28:V29" si="25">P28-Q28</f>
        <v>-5971020.2100000083</v>
      </c>
      <c r="W28" s="18"/>
    </row>
    <row r="29" spans="1:25" hidden="1" outlineLevel="1" x14ac:dyDescent="0.2">
      <c r="A29" s="12" t="s">
        <v>21</v>
      </c>
      <c r="B29" s="18"/>
      <c r="C29" s="18"/>
      <c r="D29" s="18">
        <v>44044570032.340004</v>
      </c>
      <c r="E29" s="18"/>
      <c r="F29" s="18">
        <f>11499587462*0.2</f>
        <v>2299917492.4000001</v>
      </c>
      <c r="G29" s="6"/>
      <c r="H29" s="6"/>
      <c r="I29" s="6"/>
      <c r="J29" s="6"/>
      <c r="K29" s="6"/>
      <c r="L29" s="6"/>
      <c r="M29" s="6"/>
      <c r="N29" s="6"/>
      <c r="O29" s="6"/>
      <c r="P29" s="18">
        <v>44871002378.760002</v>
      </c>
      <c r="Q29" s="18">
        <f>SUM(B29:O29)</f>
        <v>46344487524.740005</v>
      </c>
      <c r="R29" s="33">
        <f t="shared" si="23"/>
        <v>3130328663.0565033</v>
      </c>
      <c r="S29" s="18">
        <v>43214158861.683502</v>
      </c>
      <c r="T29" s="35">
        <f t="shared" si="24"/>
        <v>45374866804.767677</v>
      </c>
      <c r="U29" s="1">
        <v>41630463496.650002</v>
      </c>
      <c r="V29" s="18">
        <f t="shared" si="25"/>
        <v>-1473485145.9800034</v>
      </c>
      <c r="W29" s="18"/>
    </row>
    <row r="30" spans="1:25" ht="20.25" customHeight="1" collapsed="1" x14ac:dyDescent="0.2">
      <c r="A30" s="8" t="s">
        <v>11</v>
      </c>
      <c r="B30" s="16">
        <f>SUM(B31:B34)</f>
        <v>9184719621</v>
      </c>
      <c r="C30" s="16">
        <f t="shared" ref="C30:W30" si="26">SUM(C31:C34)</f>
        <v>5052446010.052</v>
      </c>
      <c r="D30" s="16">
        <f t="shared" si="26"/>
        <v>0</v>
      </c>
      <c r="E30" s="16"/>
      <c r="F30" s="21">
        <f>SUM(F31:F34)</f>
        <v>0</v>
      </c>
      <c r="G30" s="21">
        <f t="shared" si="26"/>
        <v>0</v>
      </c>
      <c r="H30" s="21"/>
      <c r="I30" s="21"/>
      <c r="J30" s="21"/>
      <c r="K30" s="21">
        <f t="shared" si="26"/>
        <v>0</v>
      </c>
      <c r="L30" s="21">
        <f t="shared" si="26"/>
        <v>0</v>
      </c>
      <c r="M30" s="21">
        <f t="shared" si="26"/>
        <v>0</v>
      </c>
      <c r="N30" s="21">
        <f t="shared" si="26"/>
        <v>0</v>
      </c>
      <c r="O30" s="21">
        <f t="shared" si="26"/>
        <v>6570740794.8500004</v>
      </c>
      <c r="P30" s="21">
        <f t="shared" si="26"/>
        <v>21710570926.420002</v>
      </c>
      <c r="Q30" s="21">
        <f t="shared" si="26"/>
        <v>20807906425.902</v>
      </c>
      <c r="R30" s="21">
        <f t="shared" si="26"/>
        <v>2933636260.7520003</v>
      </c>
      <c r="S30" s="21">
        <f t="shared" si="26"/>
        <v>17874270165.149998</v>
      </c>
      <c r="T30" s="21">
        <f t="shared" si="26"/>
        <v>18767983673.407501</v>
      </c>
      <c r="U30" s="21">
        <f t="shared" si="26"/>
        <v>20221424921.25</v>
      </c>
      <c r="V30" s="21">
        <f t="shared" si="26"/>
        <v>902664500.51799989</v>
      </c>
      <c r="W30" s="21">
        <f t="shared" si="26"/>
        <v>0</v>
      </c>
      <c r="X30" s="36">
        <f>Q30-S30</f>
        <v>2933636260.7520027</v>
      </c>
    </row>
    <row r="31" spans="1:25" ht="14.25" hidden="1" customHeight="1" outlineLevel="1" x14ac:dyDescent="0.2">
      <c r="A31" s="13" t="s">
        <v>33</v>
      </c>
      <c r="B31" s="18">
        <v>4930460416</v>
      </c>
      <c r="C31" s="61"/>
      <c r="D31" s="61"/>
      <c r="E31" s="61"/>
      <c r="F31" s="24"/>
      <c r="G31" s="13"/>
      <c r="H31" s="13"/>
      <c r="I31" s="13"/>
      <c r="J31" s="13"/>
      <c r="K31" s="13"/>
      <c r="L31" s="13"/>
      <c r="M31" s="13"/>
      <c r="N31" s="24"/>
      <c r="O31" s="13"/>
      <c r="P31" s="60">
        <v>5767658954.6400003</v>
      </c>
      <c r="Q31" s="25">
        <f>SUM(B31:O31)</f>
        <v>4930460416</v>
      </c>
      <c r="R31" s="34">
        <f t="shared" ref="R31:R34" si="27">Q31-S31</f>
        <v>-777939906.80000019</v>
      </c>
      <c r="S31" s="25">
        <v>5708400322.8000002</v>
      </c>
      <c r="T31" s="35">
        <f t="shared" si="24"/>
        <v>5993820338.9400005</v>
      </c>
      <c r="U31" s="1">
        <v>8119620322.8000002</v>
      </c>
      <c r="V31" s="25">
        <f t="shared" ref="V31:V35" si="28">P31-Q31</f>
        <v>837198538.64000034</v>
      </c>
      <c r="W31" s="25"/>
    </row>
    <row r="32" spans="1:25" hidden="1" outlineLevel="1" x14ac:dyDescent="0.2">
      <c r="A32" s="13" t="s">
        <v>35</v>
      </c>
      <c r="B32" s="18"/>
      <c r="C32" s="23">
        <v>3215119174.1920004</v>
      </c>
      <c r="D32" s="23"/>
      <c r="E32" s="23"/>
      <c r="F32" s="25"/>
      <c r="G32" s="25"/>
      <c r="H32" s="25"/>
      <c r="I32" s="25"/>
      <c r="J32" s="25"/>
      <c r="K32" s="7"/>
      <c r="L32" s="7"/>
      <c r="M32" s="7"/>
      <c r="N32" s="25"/>
      <c r="O32" s="25"/>
      <c r="P32" s="23">
        <v>3121474926.2240005</v>
      </c>
      <c r="Q32" s="25">
        <f>SUM(B32:O32)</f>
        <v>3215119174.1920004</v>
      </c>
      <c r="R32" s="34">
        <f t="shared" si="27"/>
        <v>803899174.19200039</v>
      </c>
      <c r="S32" s="25">
        <v>2411220000</v>
      </c>
      <c r="T32" s="35">
        <f t="shared" si="24"/>
        <v>2531781000</v>
      </c>
      <c r="U32" s="1">
        <v>2411220000</v>
      </c>
      <c r="V32" s="25">
        <f t="shared" si="28"/>
        <v>-93644247.967999935</v>
      </c>
      <c r="W32" s="25"/>
    </row>
    <row r="33" spans="1:23" hidden="1" outlineLevel="1" x14ac:dyDescent="0.2">
      <c r="A33" s="13" t="s">
        <v>34</v>
      </c>
      <c r="B33" s="61">
        <f>10825000000-6570740795</f>
        <v>4254259205</v>
      </c>
      <c r="C33" s="23"/>
      <c r="D33" s="23"/>
      <c r="E33" s="23"/>
      <c r="F33" s="23"/>
      <c r="G33" s="7"/>
      <c r="H33" s="7"/>
      <c r="I33" s="7"/>
      <c r="J33" s="7"/>
      <c r="K33" s="7"/>
      <c r="L33" s="7"/>
      <c r="M33" s="23"/>
      <c r="N33" s="7"/>
      <c r="O33" s="39">
        <v>6570740794.8500004</v>
      </c>
      <c r="P33" s="18">
        <v>11004730850.896</v>
      </c>
      <c r="Q33" s="25">
        <f>SUM(B33:O33)</f>
        <v>10824999999.85</v>
      </c>
      <c r="R33" s="34">
        <f t="shared" si="27"/>
        <v>2109999999.8500004</v>
      </c>
      <c r="S33" s="25">
        <v>8715000000</v>
      </c>
      <c r="T33" s="35">
        <f t="shared" si="24"/>
        <v>9150750000</v>
      </c>
      <c r="U33" s="1">
        <v>8715000000</v>
      </c>
      <c r="V33" s="25">
        <f t="shared" si="28"/>
        <v>179730851.04599953</v>
      </c>
      <c r="W33" s="25"/>
    </row>
    <row r="34" spans="1:23" hidden="1" outlineLevel="1" x14ac:dyDescent="0.2">
      <c r="A34" s="13" t="s">
        <v>42</v>
      </c>
      <c r="B34" s="62"/>
      <c r="C34" s="60">
        <v>1837326835.8599999</v>
      </c>
      <c r="D34" s="23"/>
      <c r="E34" s="23"/>
      <c r="F34" s="7"/>
      <c r="G34" s="7"/>
      <c r="H34" s="7"/>
      <c r="I34" s="7"/>
      <c r="J34" s="7"/>
      <c r="K34" s="7"/>
      <c r="L34" s="7"/>
      <c r="M34" s="7"/>
      <c r="N34" s="7"/>
      <c r="O34" s="18"/>
      <c r="P34" s="18">
        <v>1816706194.6599998</v>
      </c>
      <c r="Q34" s="25">
        <f>SUM(B34:O34)</f>
        <v>1837326835.8599999</v>
      </c>
      <c r="R34" s="25">
        <f t="shared" si="27"/>
        <v>797676993.50999987</v>
      </c>
      <c r="S34" s="25">
        <v>1039649842.35</v>
      </c>
      <c r="T34" s="35">
        <f t="shared" si="24"/>
        <v>1091632334.4675</v>
      </c>
      <c r="U34" s="1">
        <v>975584598.45000005</v>
      </c>
      <c r="V34" s="25">
        <f t="shared" si="28"/>
        <v>-20620641.200000048</v>
      </c>
      <c r="W34" s="25"/>
    </row>
    <row r="35" spans="1:23" collapsed="1" x14ac:dyDescent="0.2">
      <c r="A35" s="13"/>
      <c r="B35" s="60"/>
      <c r="C35" s="23"/>
      <c r="D35" s="23"/>
      <c r="E35" s="23"/>
      <c r="F35" s="7"/>
      <c r="G35" s="7"/>
      <c r="H35" s="7"/>
      <c r="I35" s="7"/>
      <c r="J35" s="7"/>
      <c r="K35" s="7"/>
      <c r="L35" s="7"/>
      <c r="M35" s="7"/>
      <c r="N35" s="7"/>
      <c r="O35" s="18"/>
      <c r="P35" s="18"/>
      <c r="Q35" s="25">
        <f>SUM(B35:O35)</f>
        <v>0</v>
      </c>
      <c r="R35" s="25"/>
      <c r="S35" s="25"/>
      <c r="V35" s="25">
        <f t="shared" si="28"/>
        <v>0</v>
      </c>
      <c r="W35" s="25"/>
    </row>
    <row r="36" spans="1:23" ht="21" customHeight="1" x14ac:dyDescent="0.2">
      <c r="A36" s="8" t="s">
        <v>12</v>
      </c>
      <c r="B36" s="16">
        <f>SUM(B37:B39)</f>
        <v>0</v>
      </c>
      <c r="C36" s="16">
        <f t="shared" ref="C36:P36" si="29">SUM(C37:C39)</f>
        <v>0</v>
      </c>
      <c r="D36" s="16">
        <f>SUM(D37:D39)</f>
        <v>2004146574.1900001</v>
      </c>
      <c r="E36" s="16"/>
      <c r="F36" s="21">
        <f t="shared" si="29"/>
        <v>6199669969.6000004</v>
      </c>
      <c r="G36" s="21">
        <f t="shared" si="29"/>
        <v>0</v>
      </c>
      <c r="H36" s="21"/>
      <c r="I36" s="21"/>
      <c r="J36" s="21"/>
      <c r="K36" s="21">
        <f t="shared" si="29"/>
        <v>0</v>
      </c>
      <c r="L36" s="21">
        <f t="shared" si="29"/>
        <v>0</v>
      </c>
      <c r="M36" s="21"/>
      <c r="N36" s="21">
        <f t="shared" si="29"/>
        <v>0</v>
      </c>
      <c r="O36" s="21">
        <f t="shared" si="29"/>
        <v>0</v>
      </c>
      <c r="P36" s="16">
        <f t="shared" si="29"/>
        <v>10038246201.870001</v>
      </c>
      <c r="Q36" s="21">
        <f t="shared" ref="Q36:S36" si="30">SUM(Q37:Q39)</f>
        <v>8203816543.7900009</v>
      </c>
      <c r="R36" s="21">
        <f t="shared" si="30"/>
        <v>2969326426.3204975</v>
      </c>
      <c r="S36" s="16">
        <f t="shared" si="30"/>
        <v>5234490117.4695034</v>
      </c>
      <c r="V36" s="21">
        <f t="shared" ref="V36:W36" si="31">SUM(V37:V39)</f>
        <v>1834429658.0799999</v>
      </c>
      <c r="W36" s="21">
        <f t="shared" si="31"/>
        <v>0</v>
      </c>
    </row>
    <row r="37" spans="1:23" s="29" customFormat="1" ht="21" hidden="1" customHeight="1" outlineLevel="1" x14ac:dyDescent="0.2">
      <c r="A37" s="12" t="s">
        <v>48</v>
      </c>
      <c r="B37" s="61"/>
      <c r="C37" s="30"/>
      <c r="D37" s="46">
        <v>2004146574.1900001</v>
      </c>
      <c r="E37" s="46"/>
      <c r="F37" s="46">
        <f>(11499587462*0.8)-1000000000-2000000000</f>
        <v>6199669969.6000004</v>
      </c>
      <c r="G37" s="28"/>
      <c r="H37" s="28"/>
      <c r="I37" s="28"/>
      <c r="J37" s="28"/>
      <c r="K37" s="30"/>
      <c r="L37" s="27"/>
      <c r="M37" s="27"/>
      <c r="N37" s="27"/>
      <c r="O37" s="27"/>
      <c r="P37" s="30">
        <v>9538246201.8700008</v>
      </c>
      <c r="Q37" s="25">
        <f>SUM(B37:O37)</f>
        <v>8203816543.7900009</v>
      </c>
      <c r="R37" s="34">
        <f t="shared" ref="R37:R38" si="32">Q37-S37</f>
        <v>3969326426.4899979</v>
      </c>
      <c r="S37" s="25">
        <v>4234490117.3000031</v>
      </c>
      <c r="V37" s="25">
        <f t="shared" ref="V37:V39" si="33">P37-Q37</f>
        <v>1334429658.0799999</v>
      </c>
      <c r="W37" s="25"/>
    </row>
    <row r="38" spans="1:23" s="29" customFormat="1" ht="24.75" hidden="1" customHeight="1" outlineLevel="1" x14ac:dyDescent="0.2">
      <c r="A38" s="12" t="s">
        <v>49</v>
      </c>
      <c r="B38" s="61"/>
      <c r="C38" s="30"/>
      <c r="D38" s="46"/>
      <c r="E38" s="46"/>
      <c r="F38" s="28"/>
      <c r="G38" s="28"/>
      <c r="H38" s="28"/>
      <c r="I38" s="28"/>
      <c r="J38" s="28"/>
      <c r="K38" s="30"/>
      <c r="L38" s="27"/>
      <c r="M38" s="27"/>
      <c r="N38" s="27"/>
      <c r="O38" s="27"/>
      <c r="P38" s="25">
        <v>500000000</v>
      </c>
      <c r="Q38" s="25">
        <f>SUM(B38:O38)</f>
        <v>0</v>
      </c>
      <c r="R38" s="34">
        <f t="shared" si="32"/>
        <v>-1000000000.1695001</v>
      </c>
      <c r="S38" s="25">
        <v>1000000000.1695001</v>
      </c>
      <c r="V38" s="25">
        <f t="shared" si="33"/>
        <v>500000000</v>
      </c>
      <c r="W38" s="25"/>
    </row>
    <row r="39" spans="1:23" s="29" customFormat="1" ht="21" hidden="1" customHeight="1" outlineLevel="1" x14ac:dyDescent="0.2">
      <c r="A39" s="12" t="s">
        <v>50</v>
      </c>
      <c r="B39" s="61"/>
      <c r="C39" s="60"/>
      <c r="D39" s="30"/>
      <c r="E39" s="30"/>
      <c r="F39" s="27"/>
      <c r="G39" s="27"/>
      <c r="H39" s="27"/>
      <c r="I39" s="27"/>
      <c r="J39" s="27"/>
      <c r="K39" s="30"/>
      <c r="L39" s="27"/>
      <c r="M39" s="27"/>
      <c r="N39" s="27"/>
      <c r="O39" s="27"/>
      <c r="P39" s="30"/>
      <c r="Q39" s="25">
        <f>SUM(B39:O39)</f>
        <v>0</v>
      </c>
      <c r="R39" s="34">
        <v>0</v>
      </c>
      <c r="S39" s="25">
        <v>0</v>
      </c>
      <c r="V39" s="25">
        <f t="shared" si="33"/>
        <v>0</v>
      </c>
      <c r="W39" s="25"/>
    </row>
    <row r="40" spans="1:23" s="29" customFormat="1" ht="21" hidden="1" customHeight="1" outlineLevel="1" x14ac:dyDescent="0.2">
      <c r="A40" s="12"/>
      <c r="B40" s="60"/>
      <c r="C40" s="60"/>
      <c r="D40" s="30"/>
      <c r="E40" s="30"/>
      <c r="F40" s="27"/>
      <c r="G40" s="27"/>
      <c r="H40" s="27"/>
      <c r="I40" s="27"/>
      <c r="J40" s="27"/>
      <c r="K40" s="30"/>
      <c r="L40" s="27"/>
      <c r="M40" s="27"/>
      <c r="N40" s="27"/>
      <c r="O40" s="27"/>
      <c r="P40" s="30"/>
      <c r="Q40" s="25"/>
      <c r="R40" s="34"/>
      <c r="S40" s="25"/>
      <c r="V40" s="25"/>
      <c r="W40" s="25"/>
    </row>
    <row r="41" spans="1:23" s="29" customFormat="1" ht="21" hidden="1" customHeight="1" outlineLevel="1" x14ac:dyDescent="0.2">
      <c r="A41" s="8" t="s">
        <v>64</v>
      </c>
      <c r="B41" s="71">
        <v>3442017420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5">
        <f>SUM(B41:O41)</f>
        <v>3442017420</v>
      </c>
      <c r="R41" s="34"/>
      <c r="S41" s="25"/>
      <c r="V41" s="25"/>
      <c r="W41" s="25"/>
    </row>
    <row r="42" spans="1:23" s="29" customFormat="1" ht="21" hidden="1" customHeight="1" outlineLevel="1" x14ac:dyDescent="0.2">
      <c r="A42" s="12"/>
      <c r="B42" s="60"/>
      <c r="C42" s="60"/>
      <c r="D42" s="30"/>
      <c r="E42" s="30"/>
      <c r="F42" s="27"/>
      <c r="G42" s="27"/>
      <c r="H42" s="27"/>
      <c r="I42" s="27"/>
      <c r="J42" s="27"/>
      <c r="K42" s="30"/>
      <c r="L42" s="27"/>
      <c r="M42" s="27"/>
      <c r="N42" s="27"/>
      <c r="O42" s="27"/>
      <c r="P42" s="30"/>
      <c r="Q42" s="25"/>
      <c r="R42" s="34"/>
      <c r="S42" s="25"/>
      <c r="V42" s="25"/>
      <c r="W42" s="25"/>
    </row>
    <row r="43" spans="1:23" collapsed="1" x14ac:dyDescent="0.2">
      <c r="A43" s="8" t="s">
        <v>27</v>
      </c>
      <c r="B43" s="21">
        <f>B7+B27+B36+B30+B41</f>
        <v>20944376149.09</v>
      </c>
      <c r="C43" s="21">
        <f t="shared" ref="C43:Q43" si="34">C7+C27+C36+C30+C41</f>
        <v>6432463214.052</v>
      </c>
      <c r="D43" s="21">
        <f t="shared" si="34"/>
        <v>158430448361.66202</v>
      </c>
      <c r="E43" s="21">
        <f t="shared" si="34"/>
        <v>1375612160.6100001</v>
      </c>
      <c r="F43" s="21">
        <f t="shared" si="34"/>
        <v>11499587462</v>
      </c>
      <c r="G43" s="21">
        <f t="shared" si="34"/>
        <v>965650720.13</v>
      </c>
      <c r="H43" s="21">
        <f t="shared" si="34"/>
        <v>259264668.09999999</v>
      </c>
      <c r="I43" s="21">
        <f t="shared" si="34"/>
        <v>2138924074</v>
      </c>
      <c r="J43" s="21">
        <f t="shared" si="34"/>
        <v>4726780828</v>
      </c>
      <c r="K43" s="21">
        <f t="shared" si="34"/>
        <v>2000000000</v>
      </c>
      <c r="L43" s="21">
        <f t="shared" si="34"/>
        <v>2060000000</v>
      </c>
      <c r="M43" s="21">
        <f t="shared" si="34"/>
        <v>317174288.06</v>
      </c>
      <c r="N43" s="21">
        <f t="shared" si="34"/>
        <v>66950000</v>
      </c>
      <c r="O43" s="21">
        <f t="shared" si="34"/>
        <v>6570740794.8500004</v>
      </c>
      <c r="P43" s="21">
        <f>P7+P27+P36+P30</f>
        <v>207055953356.29453</v>
      </c>
      <c r="Q43" s="21">
        <f t="shared" si="34"/>
        <v>217787972720.55405</v>
      </c>
      <c r="R43" s="21">
        <f t="shared" ref="R43:S43" si="35">R7+R27+R36+R30</f>
        <v>21426868068.398209</v>
      </c>
      <c r="S43" s="21">
        <f t="shared" si="35"/>
        <v>192378133426.30298</v>
      </c>
      <c r="V43" s="21">
        <f t="shared" ref="V43:W43" si="36">V7+V27+V36+V30</f>
        <v>-8547877581.0600471</v>
      </c>
      <c r="W43" s="21">
        <f t="shared" si="36"/>
        <v>5122730417.5869999</v>
      </c>
    </row>
    <row r="44" spans="1:23" ht="30.75" customHeight="1" x14ac:dyDescent="0.2">
      <c r="A44" s="74" t="s">
        <v>65</v>
      </c>
      <c r="B44" s="74"/>
      <c r="C44" s="74"/>
      <c r="D44" s="74"/>
      <c r="E44" s="74"/>
      <c r="F44" s="74"/>
      <c r="G44" s="36"/>
      <c r="H44" s="36"/>
      <c r="I44" s="36"/>
      <c r="J44" s="36"/>
      <c r="K44" s="36"/>
      <c r="L44" s="36"/>
      <c r="Q44" s="36">
        <f>SUM(B43:O43)</f>
        <v>217787972720.55402</v>
      </c>
      <c r="V44" s="36">
        <f>Q44-Q43</f>
        <v>0</v>
      </c>
    </row>
    <row r="45" spans="1:23" ht="47.25" customHeight="1" x14ac:dyDescent="0.2">
      <c r="A45" s="75"/>
      <c r="B45" s="75"/>
      <c r="C45" s="75"/>
      <c r="D45" s="75"/>
      <c r="E45" s="75"/>
      <c r="F45" s="75"/>
      <c r="G45" s="49"/>
      <c r="H45" s="49"/>
      <c r="I45" s="49"/>
      <c r="J45" s="49"/>
      <c r="Q45" s="36">
        <f>Q43-Q44</f>
        <v>0</v>
      </c>
    </row>
    <row r="46" spans="1:23" x14ac:dyDescent="0.2">
      <c r="D46" s="35"/>
      <c r="E46" s="35"/>
      <c r="F46" s="49"/>
      <c r="G46" s="49"/>
      <c r="H46" s="49"/>
      <c r="I46" s="49"/>
      <c r="J46" s="49"/>
      <c r="L46" s="36"/>
    </row>
    <row r="47" spans="1:23" x14ac:dyDescent="0.2">
      <c r="D47" s="35"/>
      <c r="E47" s="35"/>
      <c r="F47" s="49"/>
      <c r="G47" s="49"/>
      <c r="H47" s="49"/>
      <c r="I47" s="49"/>
      <c r="J47" s="49"/>
      <c r="L47" s="36"/>
      <c r="P47" s="18"/>
    </row>
    <row r="48" spans="1:23" x14ac:dyDescent="0.2">
      <c r="A48"/>
      <c r="D48" s="35"/>
      <c r="E48" s="35"/>
      <c r="F48" s="49"/>
      <c r="G48" s="49"/>
      <c r="H48" s="49"/>
      <c r="I48" s="49"/>
      <c r="J48" s="49"/>
      <c r="L48" s="36"/>
    </row>
    <row r="49" spans="1:11" x14ac:dyDescent="0.2">
      <c r="A49" s="3" t="s">
        <v>43</v>
      </c>
      <c r="C49" s="67"/>
      <c r="F49" s="50"/>
      <c r="G49" s="36"/>
      <c r="H49" s="36"/>
      <c r="I49" s="36"/>
      <c r="J49" s="36"/>
      <c r="K49" s="35"/>
    </row>
    <row r="50" spans="1:11" x14ac:dyDescent="0.2">
      <c r="A50" s="3" t="s">
        <v>44</v>
      </c>
      <c r="C50" s="67"/>
      <c r="D50" s="36"/>
      <c r="E50" s="36"/>
      <c r="K50" s="36"/>
    </row>
    <row r="51" spans="1:11" x14ac:dyDescent="0.2">
      <c r="C51" s="67"/>
      <c r="D51" s="36"/>
      <c r="E51" s="36"/>
      <c r="K51" s="36"/>
    </row>
  </sheetData>
  <mergeCells count="13">
    <mergeCell ref="A1:W1"/>
    <mergeCell ref="A44:F45"/>
    <mergeCell ref="P3:P4"/>
    <mergeCell ref="W3:W4"/>
    <mergeCell ref="V3:V4"/>
    <mergeCell ref="R3:R4"/>
    <mergeCell ref="S3:S4"/>
    <mergeCell ref="D3:K3"/>
    <mergeCell ref="A2:A4"/>
    <mergeCell ref="B3:C3"/>
    <mergeCell ref="L3:N3"/>
    <mergeCell ref="Q3:Q4"/>
    <mergeCell ref="D2:Q2"/>
  </mergeCells>
  <printOptions horizontalCentered="1" verticalCentered="1"/>
  <pageMargins left="0.25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FINACIERO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Seoanes</dc:creator>
  <cp:lastModifiedBy>Luis Alfonso Diaz Vargas</cp:lastModifiedBy>
  <cp:lastPrinted>2017-09-14T22:00:07Z</cp:lastPrinted>
  <dcterms:created xsi:type="dcterms:W3CDTF">2015-03-27T20:39:09Z</dcterms:created>
  <dcterms:modified xsi:type="dcterms:W3CDTF">2020-09-01T16:44:24Z</dcterms:modified>
</cp:coreProperties>
</file>