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C:\Users\sney-\Desktop\"/>
    </mc:Choice>
  </mc:AlternateContent>
  <xr:revisionPtr revIDLastSave="0" documentId="8_{63DF70F7-6E99-470B-9D27-78D8582426EA}" xr6:coauthVersionLast="45" xr6:coauthVersionMax="45" xr10:uidLastSave="{00000000-0000-0000-0000-000000000000}"/>
  <bookViews>
    <workbookView xWindow="-120" yWindow="-120" windowWidth="20730" windowHeight="11310" xr2:uid="{A6107130-CBE2-4213-A99A-4BFB66B33443}"/>
  </bookViews>
  <sheets>
    <sheet name="Hoja1" sheetId="1" r:id="rId1"/>
  </sheets>
  <externalReferences>
    <externalReference r:id="rId2"/>
    <externalReference r:id="rId3"/>
  </externalReferences>
  <definedNames>
    <definedName name="cd1.1">'[1]CAP 1'!$H$46</definedName>
    <definedName name="cd10.1.1">'[1]CAP 10'!$H$46</definedName>
    <definedName name="cd10.1.2">'[1]CAP 10'!$H$99</definedName>
    <definedName name="cd10.1.3">'[1]CAP 10'!$H$150</definedName>
    <definedName name="cd11.1.1">'[1]CAP 11'!$H$49</definedName>
    <definedName name="cd11.2.1">'[1]CAP 11'!$H$103</definedName>
    <definedName name="cd11.3.1">'[1]CAP 11'!$H$158</definedName>
    <definedName name="cd12.1.1">'[1]CAP 12'!$H$51</definedName>
    <definedName name="cd12.2.1">'[1]CAP 12'!$H$108</definedName>
    <definedName name="cd13.1.1">'[1]CAP 13'!$H$45</definedName>
    <definedName name="cd13.1.2">'[1]CAP 13'!$H$96</definedName>
    <definedName name="cd13.2.1">'[1]CAP 13'!$H$150</definedName>
    <definedName name="cd13.3.1">'[1]CAP 13'!$H$203</definedName>
    <definedName name="cd13.3.2">'[1]CAP 13'!$H$261</definedName>
    <definedName name="cd13.4.1">'[1]CAP 13'!$H$316</definedName>
    <definedName name="cd13.4.2">'[1]CAP 13'!$H$371</definedName>
    <definedName name="cd14.1.1">'[1]CAP 14'!$H$47</definedName>
    <definedName name="cd14.2.1">'[1]CAP 14'!$H$100</definedName>
    <definedName name="cd14.3.1">'[1]CAP 14'!$H$153</definedName>
    <definedName name="cd15.1.1">'[1]CAP 15'!$H$47</definedName>
    <definedName name="cd15.2.1">'[1]CAP 15'!$H$100</definedName>
    <definedName name="cd15.2.2">'[1]CAP 15'!$H$153</definedName>
    <definedName name="cd15.2.3">'[1]CAP 15'!$H$206</definedName>
    <definedName name="cd15.2.4">'[1]CAP 15'!$H$259</definedName>
    <definedName name="cd15.2.5">'[1]CAP 15'!$H$312</definedName>
    <definedName name="cd15.2.6">'[1]CAP 15'!$H$365</definedName>
    <definedName name="cd15.2.7">'[1]CAP 15'!$H$418</definedName>
    <definedName name="cd15.3.1">'[1]CAP 15'!$H$471</definedName>
    <definedName name="cd15.3.2">'[1]CAP 15'!$H$524</definedName>
    <definedName name="cd15.3.3">'[1]CAP 15'!$H$577</definedName>
    <definedName name="cd16.1.1">'[1]CAP 16'!$H$46</definedName>
    <definedName name="cd16.2.1">'[1]CAP 16'!$H$94</definedName>
    <definedName name="cd16.2.2">'[1]CAP 16'!$H$142</definedName>
    <definedName name="cd16.3.1">'[1]CAP 16'!$H$197</definedName>
    <definedName name="cd16.3.2">'[1]CAP 16'!$H$252</definedName>
    <definedName name="cd17.1.1">'[1]CAP 17'!$H$45</definedName>
    <definedName name="cd17.2.1">'[1]CAP 17'!$H$98</definedName>
    <definedName name="cd18.1.1">'[1]CAP 18'!$H$49</definedName>
    <definedName name="cd18.1.2">'[1]CAP 18'!$H$104</definedName>
    <definedName name="cd18.1.3">'[1]CAP 18'!$H$158</definedName>
    <definedName name="cd18.1.4">'[1]CAP 18'!$H$213</definedName>
    <definedName name="cd18.1.5">'[1]CAP 18'!$H$271</definedName>
    <definedName name="cd18.2.1">'[1]CAP 18'!$H$324</definedName>
    <definedName name="cd18.2.2">'[1]CAP 18'!$H$377</definedName>
    <definedName name="cd18.2.3">'[1]CAP 18'!$H$430</definedName>
    <definedName name="cd18.2.4">'[1]CAP 18'!$H$483</definedName>
    <definedName name="cd18.2.5">'[1]CAP 18'!$H$536</definedName>
    <definedName name="cd18.2.6">'[1]CAP 18'!$H$589</definedName>
    <definedName name="cd18.2.7">'[1]CAP 18'!$H$642</definedName>
    <definedName name="cd18.3.1">'[1]CAP 18'!$H$695</definedName>
    <definedName name="cd18.4.1">'[1]CAP 18'!$H$748</definedName>
    <definedName name="cd18.4.2">'[1]CAP 18'!$H$801</definedName>
    <definedName name="cd19.1.1">'[1]CAP 19'!$H$48</definedName>
    <definedName name="cd2.2.2">'[1]CAP 2'!$H$47</definedName>
    <definedName name="cd2.2.4">'[1]CAP 2'!$H$100</definedName>
    <definedName name="cd2.2.5">'[1]CAP 2'!$H$153</definedName>
    <definedName name="cd2.4.1.1">'[1]CAP 2'!$H$206</definedName>
    <definedName name="cd2.4.1.2">'[1]CAP 2'!$H$258</definedName>
    <definedName name="cd2.4.1.3">'[1]CAP 2'!$H$311</definedName>
    <definedName name="cd2.4.1.4">'[1]CAP 2'!$H$363</definedName>
    <definedName name="cd2.4.1.5">'[1]CAP 2'!$H$416</definedName>
    <definedName name="cd2.4.1.6">'[1]CAP 2'!$H$468</definedName>
    <definedName name="cd2.4.1.7">'[1]CAP 2'!$H$520</definedName>
    <definedName name="cd2.4.1.8">'[1]CAP 2'!$H$572</definedName>
    <definedName name="cd2.4.1.9">'[1]CAP 2'!$H$626</definedName>
    <definedName name="cd2.5.3">'[1]CAP 2'!$H$679</definedName>
    <definedName name="cd20.1.1">'[1]CAP 20'!$H$46</definedName>
    <definedName name="cd21.1.2">'[1]CAP 21'!$H$44</definedName>
    <definedName name="cd21.2.1">'[1]CAP 21'!$H$97</definedName>
    <definedName name="cd21.2.2">'[1]CAP 21'!$H$150</definedName>
    <definedName name="cd21.2.3">'[1]CAP 21'!$H$201</definedName>
    <definedName name="cd21.2.4">'[1]CAP 21'!$H$254</definedName>
    <definedName name="cd21.2.5">'[1]CAP 21'!$H$309</definedName>
    <definedName name="cd21.2.6">'[1]CAP 21'!$H$365</definedName>
    <definedName name="cd21.3.1">'[1]CAP 21'!$H$421</definedName>
    <definedName name="cd21.3.2">'[1]CAP 21'!$H$477</definedName>
    <definedName name="cd21.3.3">'[1]CAP 21'!$H$532</definedName>
    <definedName name="cd21.4.1">'[1]CAP 21'!$H$587</definedName>
    <definedName name="cd21.4.2">'[1]CAP 21'!$H$642</definedName>
    <definedName name="cd21.4.3">'[1]CAP 21'!$H$697</definedName>
    <definedName name="cd22.1.1">'[1]CAP 22'!$H$49</definedName>
    <definedName name="cd22.1.2">'[1]CAP 22'!$H$104</definedName>
    <definedName name="cd22.2.1">'[1]CAP 22'!$H$159</definedName>
    <definedName name="cd3.1.1">'[1]CAP 3'!$H$49</definedName>
    <definedName name="cd3.2.1">'[1]CAP 3'!$H$102</definedName>
    <definedName name="cd3.3.1">'[1]CAP 3'!$H$155</definedName>
    <definedName name="cd3.4.1">'[1]CAP 3'!$H$208</definedName>
    <definedName name="cd3.4.2">'[1]CAP 3'!$H$261</definedName>
    <definedName name="cd3.4.3">'[1]CAP 3'!$H$314</definedName>
    <definedName name="cd3.4.4">'[1]CAP 3'!$H$367</definedName>
    <definedName name="cd3.5.3">'[1]CAP 3'!$H$420</definedName>
    <definedName name="cd4.1.1">'[1]CAP 4'!$H$47</definedName>
    <definedName name="cd5.1.1">'[1]CAP 5'!$H$48</definedName>
    <definedName name="cd5.1.2">'[1]CAP 5'!$H$100</definedName>
    <definedName name="cd5.1.3">'[1]CAP 5'!$H$153</definedName>
    <definedName name="cd6.1.1.3">'[1]CAP 6'!$H$50</definedName>
    <definedName name="cd6.1.1.4">'[1]CAP 6'!$H$103</definedName>
    <definedName name="cd6.1.2.1">'[1]CAP 6'!$H$156</definedName>
    <definedName name="cd6.1.2.10">'[1]CAP 6'!$H$597</definedName>
    <definedName name="cd6.1.2.11">'[1]CAP 6'!$H$663</definedName>
    <definedName name="cd6.1.2.12">'[1]CAP 6'!$H$729</definedName>
    <definedName name="cd6.1.2.13">'[1]CAP 6'!$H$782</definedName>
    <definedName name="cd6.1.2.2">'[1]CAP 6'!$H$209</definedName>
    <definedName name="cd6.1.2.3">'[1]CAP 6'!$H$262</definedName>
    <definedName name="cd6.1.2.4">'[1]CAP 6'!$H$315</definedName>
    <definedName name="cd6.1.2.5">'[1]CAP 6'!$H$368</definedName>
    <definedName name="cd6.1.2.6">'[1]CAP 6'!$H$421</definedName>
    <definedName name="cd6.1.2.7">'[1]CAP 6'!$H$476</definedName>
    <definedName name="cd6.1.2.8">'[1]CAP 6'!$H$531</definedName>
    <definedName name="cd6.1.3.1">'[1]CAP 6'!$H$833</definedName>
    <definedName name="cd6.1.3.2">'[1]CAP 6'!$H$883</definedName>
    <definedName name="cd6.2.2.1">'[1]CAP 6'!$H$936</definedName>
    <definedName name="cd6.2.2.10">'[1]CAP 6'!$H$1330</definedName>
    <definedName name="cd6.2.2.11">'[1]CAP 6'!$H$1394</definedName>
    <definedName name="cd6.2.2.2">'[1]CAP 6'!$H$989</definedName>
    <definedName name="cd6.2.2.3">'[1]CAP 6'!$H$1042</definedName>
    <definedName name="cd6.2.2.5">'[1]CAP 6'!$H$1095</definedName>
    <definedName name="cd6.2.2.6">'[1]CAP 6'!$H$1149</definedName>
    <definedName name="cd6.2.2.7">'[1]CAP 6'!$H$1202</definedName>
    <definedName name="cd6.2.2.9">'[1]CAP 6'!$H$1266</definedName>
    <definedName name="cd6.2.4.7">'[1]CAP 6'!$H$1447</definedName>
    <definedName name="cd6.2.5.1">'[1]CAP 6'!$H$1498</definedName>
    <definedName name="cd6.2.5.2">'[1]CAP 6'!$H$1549</definedName>
    <definedName name="cd6.3.1.1">'[1]CAP 6'!$H$1599</definedName>
    <definedName name="cd6.3.1.3">'[1]CAP 6'!$H$1649</definedName>
    <definedName name="cd6.3.1.4">'[1]CAP 6'!$H$1699</definedName>
    <definedName name="cd6.3.2.1">'[1]CAP 6'!$H$1749</definedName>
    <definedName name="cd6.3.2.10">'[1]CAP 6'!$H$2199</definedName>
    <definedName name="cd6.3.2.2">'[1]CAP 6'!$H$1799</definedName>
    <definedName name="cd6.3.2.3">'[1]CAP 6'!$H$1849</definedName>
    <definedName name="cd6.3.2.4">'[1]CAP 6'!$H$1899</definedName>
    <definedName name="cd6.3.2.5">'[1]CAP 6'!$H$1949</definedName>
    <definedName name="cd6.3.2.6">'[1]CAP 6'!$H$1999</definedName>
    <definedName name="cd6.3.2.7">'[1]CAP 6'!$H$2049</definedName>
    <definedName name="cd6.3.2.8">'[1]CAP 6'!$H$2099</definedName>
    <definedName name="cd6.3.2.9">'[1]CAP 6'!$H$2149</definedName>
    <definedName name="cd6.3.3.1">'[1]CAP 6'!$H$2249</definedName>
    <definedName name="cd6.3.3.2">'[1]CAP 6'!$H$2299</definedName>
    <definedName name="cd6.3.3.3">'[1]CAP 6'!$H$2349</definedName>
    <definedName name="cd6.3.3.4">'[1]CAP 6'!$H$2399</definedName>
    <definedName name="cd6.3.3.5">'[1]CAP 6'!$H$2449</definedName>
    <definedName name="cd6.3.3.6">'[1]CAP 6'!$H$2499</definedName>
    <definedName name="cd6.3.3.7">'[1]CAP 6'!$H$2549</definedName>
    <definedName name="cd6.3.4.1">'[1]CAP 6'!$H$2599</definedName>
    <definedName name="cd6.3.4.2">'[1]CAP 6'!$H$2649</definedName>
    <definedName name="cd6.3.4.3">'[1]CAP 6'!$H$2699</definedName>
    <definedName name="cd6.3.4.4">'[1]CAP 6'!$H$2749</definedName>
    <definedName name="cd6.3.4.5">'[1]CAP 6'!$H$2799</definedName>
    <definedName name="cd6.3.5.1">'[1]CAP 6'!$H$2849</definedName>
    <definedName name="cd6.3.5.2">'[1]CAP 6'!$H$2899</definedName>
    <definedName name="cd6.3.5.3">'[1]CAP 6'!$H$2947</definedName>
    <definedName name="cd6.3.5.4">'[1]CAP 6'!$H$2995</definedName>
    <definedName name="cd6.3.6.1">'[1]CAP 6'!$H$3055</definedName>
    <definedName name="cd6.3.7.1">'[1]CAP 6'!$H$3115</definedName>
    <definedName name="cd6.3.8.1">'[1]CAP 6'!$H$3176</definedName>
    <definedName name="cd6.3.8.10">'[1]CAP 6'!$H$3652</definedName>
    <definedName name="cd6.3.8.2">'[1]CAP 6'!$H$3229</definedName>
    <definedName name="cd6.3.8.3">'[1]CAP 6'!$H$3282</definedName>
    <definedName name="cd6.3.8.4">'[1]CAP 6'!$H$3335</definedName>
    <definedName name="cd6.3.8.5">'[1]CAP 6'!$H$3388</definedName>
    <definedName name="cd6.3.8.6">'[1]CAP 6'!$H$3441</definedName>
    <definedName name="cd6.3.8.7">'[1]CAP 6'!$H$3494</definedName>
    <definedName name="cd6.3.8.8">'[1]CAP 6'!$H$3547</definedName>
    <definedName name="cd6.3.8.9">'[1]CAP 6'!$H$3600</definedName>
    <definedName name="cd6.4.1.1">'[1]CAP 6'!$H$3704</definedName>
    <definedName name="cd6.4.1.2">'[1]CAP 6'!$H$3756</definedName>
    <definedName name="cd6.4.1.3">'[1]CAP 6'!$H$3808</definedName>
    <definedName name="cd6.4.2.1">'[1]CAP 6'!$H$3860</definedName>
    <definedName name="cd6.4.2.10">'[1]CAP 6'!$H$4328</definedName>
    <definedName name="cd6.4.2.11">'[1]CAP 6'!$H$4380</definedName>
    <definedName name="cd6.4.2.2">'[1]CAP 6'!$H$3912</definedName>
    <definedName name="cd6.4.2.3">'[1]CAP 6'!$H$3964</definedName>
    <definedName name="cd6.4.2.4">'[1]CAP 6'!$H$4016</definedName>
    <definedName name="cd6.4.2.5">'[1]CAP 6'!$H$4068</definedName>
    <definedName name="cd6.4.2.6">'[1]CAP 6'!$H$4120</definedName>
    <definedName name="cd6.4.2.7">'[1]CAP 6'!$H$4172</definedName>
    <definedName name="cd6.4.2.8">'[1]CAP 6'!$H$4224</definedName>
    <definedName name="cd6.4.2.9">'[1]CAP 6'!$H$4276</definedName>
    <definedName name="cd6.4.3.1">'[1]CAP 6'!$H$4430</definedName>
    <definedName name="cd6.4.3.2">'[1]CAP 6'!$H$4480</definedName>
    <definedName name="cd6.4.4.1">'[1]CAP 6'!$H$4530</definedName>
    <definedName name="cd6.4.4.2">'[1]CAP 6'!$H$4580</definedName>
    <definedName name="cd6.4.4.3">'[1]CAP 6'!$H$4630</definedName>
    <definedName name="cd6.4.5.1">'[1]CAP 6'!$H$4680</definedName>
    <definedName name="cd6.4.6.1">'[1]CAP 6'!$H$4730</definedName>
    <definedName name="cd6.4.6.2">'[1]CAP 6'!$H$4780</definedName>
    <definedName name="cd6.4.6.3">'[1]CAP 6'!$H$4830</definedName>
    <definedName name="cd8.1.1">'[1]CAP 8'!$H$51</definedName>
    <definedName name="cd8.1.2">'[1]CAP 8'!$H$108</definedName>
    <definedName name="cd8.1.3">'[1]CAP 8'!$H$164</definedName>
    <definedName name="cd8.1.4">'[1]CAP 8'!$H$220</definedName>
    <definedName name="cd8.1.5">'[1]CAP 8'!$H$275</definedName>
    <definedName name="cd8.1.6">'[1]CAP 8'!$H$330</definedName>
    <definedName name="cd8.1.7">'[1]CAP 8'!$H$386</definedName>
    <definedName name="cd8.1.8">'[1]CAP 8'!$H$442</definedName>
    <definedName name="cd8.2.1">'[1]CAP 8'!$H$498</definedName>
    <definedName name="cd8.2.10">'[1]CAP 8'!$H$1001</definedName>
    <definedName name="cd8.2.2">'[1]CAP 8'!$H$554</definedName>
    <definedName name="cd8.2.3">'[1]CAP 8'!$H$610</definedName>
    <definedName name="cd8.2.4">'[1]CAP 8'!$H$665</definedName>
    <definedName name="cd8.2.5">'[1]CAP 8'!$H$721</definedName>
    <definedName name="cd8.2.6">'[1]CAP 8'!$H$777</definedName>
    <definedName name="cd8.2.7">'[1]CAP 8'!$H$833</definedName>
    <definedName name="cd8.2.8">'[1]CAP 8'!$H$889</definedName>
    <definedName name="cd8.2.9">'[1]CAP 8'!$H$945</definedName>
    <definedName name="cd8.3.1">'[1]CAP 8'!$H$1056</definedName>
    <definedName name="cd8.3.2">'[1]CAP 8'!$H$1112</definedName>
    <definedName name="cd8.3.3">'[1]CAP 8'!$H$1167</definedName>
    <definedName name="cd9.1.1">'[1]CAP 9'!$H$50</definedName>
    <definedName name="cd9.1.3">'[1]CAP 9'!$H$103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F21" i="1" l="1"/>
  <c r="E26" i="1"/>
  <c r="F26" i="1"/>
  <c r="G26" i="1"/>
  <c r="H25" i="1" s="1"/>
  <c r="E29" i="1"/>
  <c r="F29" i="1"/>
  <c r="G29" i="1"/>
  <c r="E30" i="1"/>
  <c r="F30" i="1"/>
  <c r="G30" i="1" s="1"/>
  <c r="E31" i="1"/>
  <c r="F31" i="1"/>
  <c r="G31" i="1"/>
  <c r="E34" i="1"/>
  <c r="F34" i="1"/>
  <c r="G34" i="1" s="1"/>
  <c r="E36" i="1"/>
  <c r="F36" i="1"/>
  <c r="G36" i="1"/>
  <c r="E38" i="1"/>
  <c r="F38" i="1"/>
  <c r="G38" i="1" s="1"/>
  <c r="E39" i="1"/>
  <c r="F39" i="1"/>
  <c r="G39" i="1"/>
  <c r="E40" i="1"/>
  <c r="F40" i="1"/>
  <c r="G40" i="1" s="1"/>
  <c r="E41" i="1"/>
  <c r="F41" i="1"/>
  <c r="G41" i="1"/>
  <c r="E42" i="1"/>
  <c r="F42" i="1"/>
  <c r="G42" i="1" s="1"/>
  <c r="E43" i="1"/>
  <c r="F43" i="1"/>
  <c r="G43" i="1"/>
  <c r="E44" i="1"/>
  <c r="F44" i="1"/>
  <c r="G44" i="1" s="1"/>
  <c r="E45" i="1"/>
  <c r="F45" i="1"/>
  <c r="G45" i="1"/>
  <c r="E46" i="1"/>
  <c r="F46" i="1"/>
  <c r="G46" i="1" s="1"/>
  <c r="E48" i="1"/>
  <c r="F48" i="1"/>
  <c r="G48" i="1"/>
  <c r="E52" i="1"/>
  <c r="F52" i="1"/>
  <c r="G52" i="1"/>
  <c r="E53" i="1"/>
  <c r="F53" i="1"/>
  <c r="G53" i="1" s="1"/>
  <c r="E55" i="1"/>
  <c r="F55" i="1"/>
  <c r="G55" i="1"/>
  <c r="E56" i="1"/>
  <c r="F56" i="1"/>
  <c r="G56" i="1" s="1"/>
  <c r="E57" i="1"/>
  <c r="F57" i="1"/>
  <c r="G57" i="1"/>
  <c r="E59" i="1"/>
  <c r="F59" i="1"/>
  <c r="G59" i="1" s="1"/>
  <c r="E60" i="1"/>
  <c r="F60" i="1"/>
  <c r="G60" i="1"/>
  <c r="E61" i="1"/>
  <c r="F61" i="1"/>
  <c r="G61" i="1" s="1"/>
  <c r="E63" i="1"/>
  <c r="F63" i="1"/>
  <c r="G63" i="1"/>
  <c r="E64" i="1"/>
  <c r="F64" i="1"/>
  <c r="G64" i="1" s="1"/>
  <c r="E65" i="1"/>
  <c r="F65" i="1"/>
  <c r="G65" i="1"/>
  <c r="E66" i="1"/>
  <c r="F66" i="1"/>
  <c r="G66" i="1" s="1"/>
  <c r="E67" i="1"/>
  <c r="F67" i="1"/>
  <c r="G67" i="1"/>
  <c r="E68" i="1"/>
  <c r="F68" i="1"/>
  <c r="G68" i="1" s="1"/>
  <c r="E69" i="1"/>
  <c r="F69" i="1"/>
  <c r="G69" i="1"/>
  <c r="E70" i="1"/>
  <c r="F70" i="1"/>
  <c r="G70" i="1" s="1"/>
  <c r="E73" i="1"/>
  <c r="F73" i="1"/>
  <c r="G73" i="1"/>
  <c r="E74" i="1"/>
  <c r="F74" i="1"/>
  <c r="G74" i="1" s="1"/>
  <c r="E76" i="1"/>
  <c r="F76" i="1"/>
  <c r="G76" i="1"/>
  <c r="E77" i="1"/>
  <c r="F77" i="1"/>
  <c r="G77" i="1" s="1"/>
  <c r="E78" i="1"/>
  <c r="F78" i="1"/>
  <c r="G78" i="1"/>
  <c r="E80" i="1"/>
  <c r="F80" i="1"/>
  <c r="G80" i="1" s="1"/>
  <c r="E81" i="1"/>
  <c r="F81" i="1"/>
  <c r="G81" i="1"/>
  <c r="E82" i="1"/>
  <c r="F82" i="1"/>
  <c r="G82" i="1" s="1"/>
  <c r="E84" i="1"/>
  <c r="F84" i="1"/>
  <c r="G84" i="1"/>
  <c r="E85" i="1"/>
  <c r="F85" i="1"/>
  <c r="G85" i="1" s="1"/>
  <c r="E86" i="1"/>
  <c r="F86" i="1"/>
  <c r="G86" i="1"/>
  <c r="E87" i="1"/>
  <c r="F87" i="1"/>
  <c r="G87" i="1" s="1"/>
  <c r="E88" i="1"/>
  <c r="F88" i="1"/>
  <c r="G88" i="1"/>
  <c r="E89" i="1"/>
  <c r="F89" i="1"/>
  <c r="G89" i="1" s="1"/>
  <c r="E90" i="1"/>
  <c r="F90" i="1"/>
  <c r="G90" i="1"/>
  <c r="E91" i="1"/>
  <c r="F91" i="1"/>
  <c r="G91" i="1" s="1"/>
  <c r="E92" i="1"/>
  <c r="F92" i="1"/>
  <c r="G92" i="1"/>
  <c r="E94" i="1"/>
  <c r="F94" i="1"/>
  <c r="G94" i="1" s="1"/>
  <c r="E97" i="1"/>
  <c r="F97" i="1"/>
  <c r="G97" i="1" s="1"/>
  <c r="H95" i="1" s="1"/>
  <c r="E98" i="1"/>
  <c r="F98" i="1"/>
  <c r="G98" i="1"/>
  <c r="E99" i="1"/>
  <c r="F99" i="1"/>
  <c r="G99" i="1" s="1"/>
  <c r="E103" i="1"/>
  <c r="F103" i="1"/>
  <c r="G103" i="1" s="1"/>
  <c r="H100" i="1" s="1"/>
  <c r="E104" i="1"/>
  <c r="F104" i="1"/>
  <c r="G104" i="1"/>
  <c r="E105" i="1"/>
  <c r="F105" i="1"/>
  <c r="G105" i="1" s="1"/>
  <c r="E108" i="1"/>
  <c r="F108" i="1"/>
  <c r="G108" i="1"/>
  <c r="E109" i="1"/>
  <c r="F109" i="1"/>
  <c r="G109" i="1" s="1"/>
  <c r="E110" i="1"/>
  <c r="F110" i="1"/>
  <c r="G110" i="1"/>
  <c r="E111" i="1"/>
  <c r="F111" i="1"/>
  <c r="G111" i="1" s="1"/>
  <c r="E112" i="1"/>
  <c r="F112" i="1"/>
  <c r="G112" i="1"/>
  <c r="E115" i="1"/>
  <c r="F115" i="1"/>
  <c r="G115" i="1" s="1"/>
  <c r="E116" i="1"/>
  <c r="F116" i="1"/>
  <c r="G116" i="1"/>
  <c r="E117" i="1"/>
  <c r="F117" i="1"/>
  <c r="G117" i="1" s="1"/>
  <c r="E118" i="1"/>
  <c r="F118" i="1"/>
  <c r="G118" i="1"/>
  <c r="E119" i="1"/>
  <c r="F119" i="1"/>
  <c r="G119" i="1" s="1"/>
  <c r="E122" i="1"/>
  <c r="F122" i="1"/>
  <c r="G122" i="1"/>
  <c r="E123" i="1"/>
  <c r="F123" i="1"/>
  <c r="G123" i="1" s="1"/>
  <c r="E124" i="1"/>
  <c r="F124" i="1"/>
  <c r="G124" i="1"/>
  <c r="E125" i="1"/>
  <c r="F125" i="1"/>
  <c r="G125" i="1" s="1"/>
  <c r="E126" i="1"/>
  <c r="F126" i="1"/>
  <c r="G126" i="1"/>
  <c r="E130" i="1"/>
  <c r="F130" i="1"/>
  <c r="G130" i="1"/>
  <c r="E131" i="1"/>
  <c r="F131" i="1"/>
  <c r="G131" i="1" s="1"/>
  <c r="E133" i="1"/>
  <c r="F133" i="1"/>
  <c r="G133" i="1"/>
  <c r="E134" i="1"/>
  <c r="F134" i="1"/>
  <c r="G134" i="1" s="1"/>
  <c r="E135" i="1"/>
  <c r="F135" i="1"/>
  <c r="G135" i="1"/>
  <c r="E136" i="1"/>
  <c r="F136" i="1"/>
  <c r="G136" i="1" s="1"/>
  <c r="E137" i="1"/>
  <c r="F137" i="1"/>
  <c r="G137" i="1"/>
  <c r="E138" i="1"/>
  <c r="F138" i="1"/>
  <c r="G138" i="1" s="1"/>
  <c r="E139" i="1"/>
  <c r="F139" i="1"/>
  <c r="G139" i="1"/>
  <c r="E140" i="1"/>
  <c r="F140" i="1"/>
  <c r="G140" i="1" s="1"/>
  <c r="E141" i="1"/>
  <c r="F141" i="1"/>
  <c r="G141" i="1"/>
  <c r="E142" i="1"/>
  <c r="F142" i="1"/>
  <c r="G142" i="1" s="1"/>
  <c r="E143" i="1"/>
  <c r="F143" i="1"/>
  <c r="G143" i="1"/>
  <c r="E144" i="1"/>
  <c r="F144" i="1"/>
  <c r="G144" i="1" s="1"/>
  <c r="E146" i="1"/>
  <c r="F146" i="1"/>
  <c r="G146" i="1"/>
  <c r="E147" i="1"/>
  <c r="F147" i="1"/>
  <c r="G147" i="1" s="1"/>
  <c r="E150" i="1"/>
  <c r="F150" i="1"/>
  <c r="G150" i="1"/>
  <c r="E151" i="1"/>
  <c r="F151" i="1"/>
  <c r="G151" i="1" s="1"/>
  <c r="E152" i="1"/>
  <c r="F152" i="1"/>
  <c r="G152" i="1"/>
  <c r="E153" i="1"/>
  <c r="F153" i="1"/>
  <c r="G153" i="1" s="1"/>
  <c r="E154" i="1"/>
  <c r="F154" i="1"/>
  <c r="G154" i="1"/>
  <c r="E155" i="1"/>
  <c r="F155" i="1"/>
  <c r="G155" i="1" s="1"/>
  <c r="E156" i="1"/>
  <c r="F156" i="1"/>
  <c r="G156" i="1"/>
  <c r="E157" i="1"/>
  <c r="F157" i="1"/>
  <c r="G157" i="1" s="1"/>
  <c r="E158" i="1"/>
  <c r="F158" i="1"/>
  <c r="G158" i="1"/>
  <c r="E160" i="1"/>
  <c r="F160" i="1"/>
  <c r="G160" i="1" s="1"/>
  <c r="E162" i="1"/>
  <c r="F162" i="1"/>
  <c r="G162" i="1"/>
  <c r="E163" i="1"/>
  <c r="F163" i="1"/>
  <c r="G163" i="1" s="1"/>
  <c r="E166" i="1"/>
  <c r="F166" i="1"/>
  <c r="G166" i="1"/>
  <c r="E167" i="1"/>
  <c r="F167" i="1"/>
  <c r="G167" i="1" s="1"/>
  <c r="E168" i="1"/>
  <c r="F168" i="1"/>
  <c r="G168" i="1"/>
  <c r="E170" i="1"/>
  <c r="F170" i="1"/>
  <c r="G170" i="1" s="1"/>
  <c r="E171" i="1"/>
  <c r="F171" i="1"/>
  <c r="G171" i="1"/>
  <c r="E172" i="1"/>
  <c r="F172" i="1"/>
  <c r="G172" i="1" s="1"/>
  <c r="E173" i="1"/>
  <c r="F173" i="1"/>
  <c r="G173" i="1"/>
  <c r="E174" i="1"/>
  <c r="F174" i="1"/>
  <c r="G174" i="1" s="1"/>
  <c r="E175" i="1"/>
  <c r="F175" i="1"/>
  <c r="G175" i="1"/>
  <c r="E176" i="1"/>
  <c r="F176" i="1"/>
  <c r="G176" i="1" s="1"/>
  <c r="E177" i="1"/>
  <c r="F177" i="1"/>
  <c r="G177" i="1"/>
  <c r="E178" i="1"/>
  <c r="F178" i="1"/>
  <c r="G178" i="1" s="1"/>
  <c r="E179" i="1"/>
  <c r="F179" i="1"/>
  <c r="G179" i="1"/>
  <c r="E181" i="1"/>
  <c r="F181" i="1"/>
  <c r="G181" i="1" s="1"/>
  <c r="E182" i="1"/>
  <c r="F182" i="1"/>
  <c r="G182" i="1"/>
  <c r="E183" i="1"/>
  <c r="F183" i="1"/>
  <c r="G183" i="1" s="1"/>
  <c r="E184" i="1"/>
  <c r="F184" i="1"/>
  <c r="G184" i="1"/>
  <c r="E185" i="1"/>
  <c r="F185" i="1"/>
  <c r="G185" i="1" s="1"/>
  <c r="E186" i="1"/>
  <c r="F186" i="1"/>
  <c r="G186" i="1"/>
  <c r="E187" i="1"/>
  <c r="F187" i="1"/>
  <c r="G187" i="1" s="1"/>
  <c r="E189" i="1"/>
  <c r="F189" i="1"/>
  <c r="G189" i="1"/>
  <c r="E190" i="1"/>
  <c r="F190" i="1"/>
  <c r="G190" i="1" s="1"/>
  <c r="E191" i="1"/>
  <c r="F191" i="1"/>
  <c r="G191" i="1"/>
  <c r="E192" i="1"/>
  <c r="F192" i="1"/>
  <c r="G192" i="1" s="1"/>
  <c r="E193" i="1"/>
  <c r="F193" i="1"/>
  <c r="G193" i="1"/>
  <c r="E195" i="1"/>
  <c r="F195" i="1"/>
  <c r="G195" i="1" s="1"/>
  <c r="E196" i="1"/>
  <c r="F196" i="1"/>
  <c r="G196" i="1"/>
  <c r="E197" i="1"/>
  <c r="F197" i="1"/>
  <c r="G197" i="1" s="1"/>
  <c r="E198" i="1"/>
  <c r="F198" i="1"/>
  <c r="G198" i="1"/>
  <c r="E200" i="1"/>
  <c r="F200" i="1"/>
  <c r="G200" i="1" s="1"/>
  <c r="E202" i="1"/>
  <c r="F202" i="1"/>
  <c r="G202" i="1"/>
  <c r="E204" i="1"/>
  <c r="F204" i="1"/>
  <c r="G204" i="1" s="1"/>
  <c r="E205" i="1"/>
  <c r="F205" i="1"/>
  <c r="G205" i="1"/>
  <c r="E206" i="1"/>
  <c r="F206" i="1"/>
  <c r="G206" i="1" s="1"/>
  <c r="E207" i="1"/>
  <c r="F207" i="1"/>
  <c r="G207" i="1"/>
  <c r="E208" i="1"/>
  <c r="F208" i="1"/>
  <c r="G208" i="1" s="1"/>
  <c r="E209" i="1"/>
  <c r="F209" i="1"/>
  <c r="G209" i="1"/>
  <c r="E210" i="1"/>
  <c r="F210" i="1"/>
  <c r="G210" i="1" s="1"/>
  <c r="E211" i="1"/>
  <c r="F211" i="1"/>
  <c r="G211" i="1"/>
  <c r="E212" i="1"/>
  <c r="F212" i="1"/>
  <c r="G212" i="1" s="1"/>
  <c r="E213" i="1"/>
  <c r="F213" i="1"/>
  <c r="G213" i="1"/>
  <c r="E216" i="1"/>
  <c r="F216" i="1"/>
  <c r="G216" i="1" s="1"/>
  <c r="E217" i="1"/>
  <c r="F217" i="1"/>
  <c r="G217" i="1"/>
  <c r="E218" i="1"/>
  <c r="F218" i="1"/>
  <c r="G218" i="1" s="1"/>
  <c r="E220" i="1"/>
  <c r="F220" i="1"/>
  <c r="G220" i="1"/>
  <c r="E221" i="1"/>
  <c r="F221" i="1"/>
  <c r="G221" i="1" s="1"/>
  <c r="E222" i="1"/>
  <c r="F222" i="1"/>
  <c r="G222" i="1"/>
  <c r="E223" i="1"/>
  <c r="F223" i="1"/>
  <c r="G223" i="1" s="1"/>
  <c r="E224" i="1"/>
  <c r="F224" i="1"/>
  <c r="G224" i="1"/>
  <c r="E225" i="1"/>
  <c r="F225" i="1"/>
  <c r="G225" i="1" s="1"/>
  <c r="E226" i="1"/>
  <c r="F226" i="1"/>
  <c r="G226" i="1"/>
  <c r="E227" i="1"/>
  <c r="F227" i="1"/>
  <c r="G227" i="1" s="1"/>
  <c r="E228" i="1"/>
  <c r="F228" i="1"/>
  <c r="G228" i="1"/>
  <c r="E229" i="1"/>
  <c r="F229" i="1"/>
  <c r="G229" i="1" s="1"/>
  <c r="E230" i="1"/>
  <c r="F230" i="1"/>
  <c r="G230" i="1"/>
  <c r="E232" i="1"/>
  <c r="F232" i="1"/>
  <c r="G232" i="1" s="1"/>
  <c r="E233" i="1"/>
  <c r="F233" i="1"/>
  <c r="G233" i="1"/>
  <c r="E235" i="1"/>
  <c r="F235" i="1"/>
  <c r="G235" i="1" s="1"/>
  <c r="E236" i="1"/>
  <c r="F236" i="1"/>
  <c r="G236" i="1"/>
  <c r="E237" i="1"/>
  <c r="F237" i="1"/>
  <c r="G237" i="1" s="1"/>
  <c r="E239" i="1"/>
  <c r="F239" i="1"/>
  <c r="G239" i="1"/>
  <c r="E241" i="1"/>
  <c r="F241" i="1"/>
  <c r="G241" i="1" s="1"/>
  <c r="E242" i="1"/>
  <c r="F242" i="1"/>
  <c r="G242" i="1" s="1"/>
  <c r="E243" i="1"/>
  <c r="F243" i="1"/>
  <c r="G243" i="1"/>
  <c r="E248" i="1"/>
  <c r="F248" i="1"/>
  <c r="G248" i="1"/>
  <c r="E249" i="1"/>
  <c r="F249" i="1"/>
  <c r="G249" i="1" s="1"/>
  <c r="E250" i="1"/>
  <c r="F250" i="1"/>
  <c r="G250" i="1"/>
  <c r="E252" i="1"/>
  <c r="F252" i="1"/>
  <c r="G252" i="1" s="1"/>
  <c r="E253" i="1"/>
  <c r="F253" i="1"/>
  <c r="G253" i="1"/>
  <c r="E255" i="1"/>
  <c r="F255" i="1"/>
  <c r="G255" i="1" s="1"/>
  <c r="E256" i="1"/>
  <c r="F256" i="1"/>
  <c r="G256" i="1"/>
  <c r="E257" i="1"/>
  <c r="F257" i="1"/>
  <c r="G257" i="1" s="1"/>
  <c r="E258" i="1"/>
  <c r="F258" i="1"/>
  <c r="G258" i="1"/>
  <c r="E259" i="1"/>
  <c r="F259" i="1"/>
  <c r="G259" i="1" s="1"/>
  <c r="E260" i="1"/>
  <c r="F260" i="1"/>
  <c r="G260" i="1"/>
  <c r="E261" i="1"/>
  <c r="F261" i="1"/>
  <c r="G261" i="1" s="1"/>
  <c r="E263" i="1"/>
  <c r="F263" i="1"/>
  <c r="G263" i="1"/>
  <c r="E264" i="1"/>
  <c r="F264" i="1"/>
  <c r="G264" i="1" s="1"/>
  <c r="E265" i="1"/>
  <c r="F265" i="1"/>
  <c r="G265" i="1"/>
  <c r="E266" i="1"/>
  <c r="F266" i="1"/>
  <c r="G266" i="1" s="1"/>
  <c r="E267" i="1"/>
  <c r="F267" i="1"/>
  <c r="G267" i="1"/>
  <c r="E268" i="1"/>
  <c r="F268" i="1"/>
  <c r="G268" i="1" s="1"/>
  <c r="E269" i="1"/>
  <c r="F269" i="1"/>
  <c r="G269" i="1"/>
  <c r="E270" i="1"/>
  <c r="F270" i="1"/>
  <c r="G270" i="1" s="1"/>
  <c r="E271" i="1"/>
  <c r="F271" i="1"/>
  <c r="G271" i="1"/>
  <c r="E272" i="1"/>
  <c r="F272" i="1"/>
  <c r="G272" i="1" s="1"/>
  <c r="E273" i="1"/>
  <c r="F273" i="1"/>
  <c r="G273" i="1"/>
  <c r="E274" i="1"/>
  <c r="F274" i="1"/>
  <c r="G274" i="1" s="1"/>
  <c r="E275" i="1"/>
  <c r="F275" i="1"/>
  <c r="G275" i="1"/>
  <c r="E276" i="1"/>
  <c r="F276" i="1"/>
  <c r="G276" i="1" s="1"/>
  <c r="E277" i="1"/>
  <c r="F277" i="1"/>
  <c r="G277" i="1"/>
  <c r="E278" i="1"/>
  <c r="F278" i="1"/>
  <c r="G278" i="1" s="1"/>
  <c r="E279" i="1"/>
  <c r="F279" i="1"/>
  <c r="G279" i="1"/>
  <c r="E280" i="1"/>
  <c r="F280" i="1"/>
  <c r="G280" i="1" s="1"/>
  <c r="E281" i="1"/>
  <c r="F281" i="1"/>
  <c r="G281" i="1"/>
  <c r="E282" i="1"/>
  <c r="F282" i="1"/>
  <c r="G282" i="1" s="1"/>
  <c r="E283" i="1"/>
  <c r="F283" i="1"/>
  <c r="G283" i="1"/>
  <c r="E284" i="1"/>
  <c r="F284" i="1"/>
  <c r="G284" i="1" s="1"/>
  <c r="E285" i="1"/>
  <c r="F285" i="1"/>
  <c r="G285" i="1"/>
  <c r="E286" i="1"/>
  <c r="F286" i="1"/>
  <c r="G286" i="1" s="1"/>
  <c r="E287" i="1"/>
  <c r="F287" i="1"/>
  <c r="G287" i="1"/>
  <c r="E288" i="1"/>
  <c r="F288" i="1"/>
  <c r="G288" i="1" s="1"/>
  <c r="E289" i="1"/>
  <c r="F289" i="1"/>
  <c r="G289" i="1"/>
  <c r="E290" i="1"/>
  <c r="F290" i="1"/>
  <c r="G290" i="1" s="1"/>
  <c r="E291" i="1"/>
  <c r="F291" i="1"/>
  <c r="G291" i="1"/>
  <c r="E292" i="1"/>
  <c r="F292" i="1"/>
  <c r="G292" i="1" s="1"/>
  <c r="E293" i="1"/>
  <c r="F293" i="1"/>
  <c r="G293" i="1"/>
  <c r="E294" i="1"/>
  <c r="F294" i="1"/>
  <c r="G294" i="1" s="1"/>
  <c r="E295" i="1"/>
  <c r="F295" i="1"/>
  <c r="G295" i="1"/>
  <c r="E296" i="1"/>
  <c r="F296" i="1"/>
  <c r="G296" i="1" s="1"/>
  <c r="E297" i="1"/>
  <c r="F297" i="1"/>
  <c r="G297" i="1"/>
  <c r="E298" i="1"/>
  <c r="F298" i="1"/>
  <c r="G298" i="1" s="1"/>
  <c r="E299" i="1"/>
  <c r="F299" i="1"/>
  <c r="G299" i="1"/>
  <c r="E300" i="1"/>
  <c r="F300" i="1"/>
  <c r="G300" i="1" s="1"/>
  <c r="E301" i="1"/>
  <c r="F301" i="1"/>
  <c r="G301" i="1"/>
  <c r="E302" i="1"/>
  <c r="F302" i="1"/>
  <c r="G302" i="1" s="1"/>
  <c r="E303" i="1"/>
  <c r="F303" i="1"/>
  <c r="G303" i="1"/>
  <c r="E304" i="1"/>
  <c r="F304" i="1"/>
  <c r="G304" i="1" s="1"/>
  <c r="E305" i="1"/>
  <c r="F305" i="1"/>
  <c r="G305" i="1"/>
  <c r="E306" i="1"/>
  <c r="F306" i="1"/>
  <c r="G306" i="1" s="1"/>
  <c r="E307" i="1"/>
  <c r="F307" i="1"/>
  <c r="G307" i="1"/>
  <c r="E308" i="1"/>
  <c r="F308" i="1"/>
  <c r="G308" i="1" s="1"/>
  <c r="E309" i="1"/>
  <c r="F309" i="1"/>
  <c r="G309" i="1"/>
  <c r="E310" i="1"/>
  <c r="F310" i="1"/>
  <c r="G310" i="1" s="1"/>
  <c r="E311" i="1"/>
  <c r="F311" i="1"/>
  <c r="G311" i="1"/>
  <c r="E312" i="1"/>
  <c r="F312" i="1"/>
  <c r="G312" i="1" s="1"/>
  <c r="E313" i="1"/>
  <c r="F313" i="1"/>
  <c r="G313" i="1"/>
  <c r="E314" i="1"/>
  <c r="F314" i="1"/>
  <c r="G314" i="1" s="1"/>
  <c r="E315" i="1"/>
  <c r="F315" i="1"/>
  <c r="G315" i="1"/>
  <c r="E316" i="1"/>
  <c r="F316" i="1"/>
  <c r="G316" i="1" s="1"/>
  <c r="E318" i="1"/>
  <c r="F318" i="1"/>
  <c r="G318" i="1"/>
  <c r="E319" i="1"/>
  <c r="F319" i="1"/>
  <c r="G319" i="1" s="1"/>
  <c r="E320" i="1"/>
  <c r="F320" i="1"/>
  <c r="G320" i="1"/>
  <c r="E322" i="1"/>
  <c r="F322" i="1"/>
  <c r="G322" i="1" s="1"/>
  <c r="E323" i="1"/>
  <c r="F323" i="1"/>
  <c r="G323" i="1"/>
  <c r="E324" i="1"/>
  <c r="F324" i="1"/>
  <c r="G324" i="1" s="1"/>
  <c r="E326" i="1"/>
  <c r="F326" i="1"/>
  <c r="G326" i="1"/>
  <c r="E327" i="1"/>
  <c r="F327" i="1"/>
  <c r="G327" i="1" s="1"/>
  <c r="E328" i="1"/>
  <c r="F328" i="1"/>
  <c r="G328" i="1"/>
  <c r="E329" i="1"/>
  <c r="F329" i="1"/>
  <c r="G329" i="1" s="1"/>
  <c r="E330" i="1"/>
  <c r="F330" i="1"/>
  <c r="G330" i="1"/>
  <c r="E332" i="1"/>
  <c r="F332" i="1"/>
  <c r="G332" i="1" s="1"/>
  <c r="E333" i="1"/>
  <c r="F333" i="1"/>
  <c r="G333" i="1"/>
  <c r="E334" i="1"/>
  <c r="F334" i="1"/>
  <c r="G334" i="1" s="1"/>
  <c r="E335" i="1"/>
  <c r="F335" i="1"/>
  <c r="G335" i="1"/>
  <c r="E336" i="1"/>
  <c r="F336" i="1"/>
  <c r="G336" i="1" s="1"/>
  <c r="E337" i="1"/>
  <c r="F337" i="1"/>
  <c r="G337" i="1"/>
  <c r="E338" i="1"/>
  <c r="F338" i="1"/>
  <c r="G338" i="1" s="1"/>
  <c r="E339" i="1"/>
  <c r="F339" i="1"/>
  <c r="G339" i="1"/>
  <c r="E341" i="1"/>
  <c r="F341" i="1"/>
  <c r="G341" i="1" s="1"/>
  <c r="E342" i="1"/>
  <c r="F342" i="1"/>
  <c r="G342" i="1"/>
  <c r="E343" i="1"/>
  <c r="F343" i="1"/>
  <c r="G343" i="1" s="1"/>
  <c r="E344" i="1"/>
  <c r="F344" i="1"/>
  <c r="G344" i="1"/>
  <c r="E345" i="1"/>
  <c r="F345" i="1"/>
  <c r="G345" i="1" s="1"/>
  <c r="E346" i="1"/>
  <c r="F346" i="1"/>
  <c r="G346" i="1"/>
  <c r="E347" i="1"/>
  <c r="F347" i="1"/>
  <c r="G347" i="1" s="1"/>
  <c r="E348" i="1"/>
  <c r="F348" i="1"/>
  <c r="G348" i="1"/>
  <c r="E349" i="1"/>
  <c r="F349" i="1"/>
  <c r="G349" i="1" s="1"/>
  <c r="E351" i="1"/>
  <c r="F351" i="1"/>
  <c r="G351" i="1"/>
  <c r="E352" i="1"/>
  <c r="F352" i="1"/>
  <c r="G352" i="1" s="1"/>
  <c r="E353" i="1"/>
  <c r="F353" i="1"/>
  <c r="G353" i="1"/>
  <c r="E354" i="1"/>
  <c r="F354" i="1"/>
  <c r="G354" i="1" s="1"/>
  <c r="E355" i="1"/>
  <c r="F355" i="1"/>
  <c r="G355" i="1"/>
  <c r="E356" i="1"/>
  <c r="F356" i="1"/>
  <c r="G356" i="1" s="1"/>
  <c r="E357" i="1"/>
  <c r="F357" i="1"/>
  <c r="G357" i="1"/>
  <c r="E358" i="1"/>
  <c r="F358" i="1"/>
  <c r="G358" i="1" s="1"/>
  <c r="E359" i="1"/>
  <c r="F359" i="1"/>
  <c r="G359" i="1"/>
  <c r="E361" i="1"/>
  <c r="F361" i="1"/>
  <c r="G361" i="1" s="1"/>
  <c r="E363" i="1"/>
  <c r="F363" i="1"/>
  <c r="G363" i="1"/>
  <c r="E365" i="1"/>
  <c r="F365" i="1"/>
  <c r="G365" i="1" s="1"/>
  <c r="E366" i="1"/>
  <c r="F366" i="1"/>
  <c r="G366" i="1"/>
  <c r="E368" i="1"/>
  <c r="F368" i="1"/>
  <c r="G368" i="1" s="1"/>
  <c r="E370" i="1"/>
  <c r="F370" i="1"/>
  <c r="G370" i="1"/>
  <c r="E371" i="1"/>
  <c r="F371" i="1"/>
  <c r="G371" i="1" s="1"/>
  <c r="E372" i="1"/>
  <c r="F372" i="1"/>
  <c r="G372" i="1"/>
  <c r="E373" i="1"/>
  <c r="F373" i="1"/>
  <c r="G373" i="1" s="1"/>
  <c r="E374" i="1"/>
  <c r="F374" i="1"/>
  <c r="G374" i="1"/>
  <c r="E375" i="1"/>
  <c r="F375" i="1"/>
  <c r="G375" i="1" s="1"/>
  <c r="E376" i="1"/>
  <c r="F376" i="1"/>
  <c r="G376" i="1"/>
  <c r="E377" i="1"/>
  <c r="F377" i="1"/>
  <c r="G377" i="1" s="1"/>
  <c r="E378" i="1"/>
  <c r="F378" i="1"/>
  <c r="G378" i="1"/>
  <c r="E379" i="1"/>
  <c r="F379" i="1"/>
  <c r="G379" i="1" s="1"/>
  <c r="E382" i="1"/>
  <c r="F382" i="1"/>
  <c r="G382" i="1"/>
  <c r="E383" i="1"/>
  <c r="F383" i="1"/>
  <c r="G383" i="1" s="1"/>
  <c r="E384" i="1"/>
  <c r="F384" i="1"/>
  <c r="G384" i="1"/>
  <c r="E386" i="1"/>
  <c r="F386" i="1"/>
  <c r="G386" i="1" s="1"/>
  <c r="E388" i="1"/>
  <c r="F388" i="1"/>
  <c r="G388" i="1"/>
  <c r="E389" i="1"/>
  <c r="F389" i="1"/>
  <c r="G389" i="1" s="1"/>
  <c r="E390" i="1"/>
  <c r="F390" i="1"/>
  <c r="G390" i="1"/>
  <c r="E392" i="1"/>
  <c r="F392" i="1"/>
  <c r="G392" i="1" s="1"/>
  <c r="E394" i="1"/>
  <c r="F394" i="1"/>
  <c r="G394" i="1"/>
  <c r="E397" i="1"/>
  <c r="F397" i="1"/>
  <c r="G397" i="1" s="1"/>
  <c r="E399" i="1"/>
  <c r="F399" i="1"/>
  <c r="G399" i="1"/>
  <c r="E401" i="1"/>
  <c r="F401" i="1"/>
  <c r="G401" i="1" s="1"/>
  <c r="E404" i="1"/>
  <c r="F404" i="1"/>
  <c r="G404" i="1"/>
  <c r="E405" i="1"/>
  <c r="F405" i="1"/>
  <c r="G405" i="1" s="1"/>
  <c r="E406" i="1"/>
  <c r="F406" i="1"/>
  <c r="G406" i="1"/>
  <c r="E408" i="1"/>
  <c r="F408" i="1"/>
  <c r="G408" i="1" s="1"/>
  <c r="E411" i="1"/>
  <c r="F411" i="1"/>
  <c r="G411" i="1"/>
  <c r="E413" i="1"/>
  <c r="F413" i="1"/>
  <c r="G413" i="1" s="1"/>
  <c r="E415" i="1"/>
  <c r="F415" i="1"/>
  <c r="G415" i="1"/>
  <c r="E417" i="1"/>
  <c r="F417" i="1"/>
  <c r="G417" i="1" s="1"/>
  <c r="E419" i="1"/>
  <c r="F419" i="1"/>
  <c r="G419" i="1"/>
  <c r="E421" i="1"/>
  <c r="F421" i="1"/>
  <c r="G421" i="1" s="1"/>
  <c r="E422" i="1"/>
  <c r="F422" i="1"/>
  <c r="G422" i="1"/>
  <c r="E425" i="1"/>
  <c r="F425" i="1"/>
  <c r="G425" i="1" s="1"/>
  <c r="E426" i="1"/>
  <c r="F426" i="1"/>
  <c r="G426" i="1"/>
  <c r="E427" i="1"/>
  <c r="F427" i="1"/>
  <c r="G427" i="1" s="1"/>
  <c r="E428" i="1"/>
  <c r="F428" i="1"/>
  <c r="G428" i="1"/>
  <c r="E429" i="1"/>
  <c r="F429" i="1"/>
  <c r="G429" i="1" s="1"/>
  <c r="E430" i="1"/>
  <c r="F430" i="1"/>
  <c r="G430" i="1"/>
  <c r="E432" i="1"/>
  <c r="F432" i="1"/>
  <c r="G432" i="1" s="1"/>
  <c r="E433" i="1"/>
  <c r="F433" i="1"/>
  <c r="G433" i="1"/>
  <c r="E434" i="1"/>
  <c r="F434" i="1"/>
  <c r="G434" i="1" s="1"/>
  <c r="E435" i="1"/>
  <c r="F435" i="1"/>
  <c r="G435" i="1"/>
  <c r="E437" i="1"/>
  <c r="F437" i="1"/>
  <c r="G437" i="1" s="1"/>
  <c r="E438" i="1"/>
  <c r="F438" i="1"/>
  <c r="G438" i="1"/>
  <c r="E441" i="1"/>
  <c r="F441" i="1"/>
  <c r="G441" i="1" s="1"/>
  <c r="E443" i="1"/>
  <c r="F443" i="1"/>
  <c r="G443" i="1"/>
  <c r="E445" i="1"/>
  <c r="F445" i="1"/>
  <c r="G445" i="1" s="1"/>
  <c r="E447" i="1"/>
  <c r="F447" i="1"/>
  <c r="G447" i="1"/>
  <c r="E449" i="1"/>
  <c r="F449" i="1"/>
  <c r="G449" i="1" s="1"/>
  <c r="E451" i="1"/>
  <c r="F451" i="1"/>
  <c r="G451" i="1"/>
  <c r="E453" i="1"/>
  <c r="F453" i="1"/>
  <c r="G453" i="1" s="1"/>
  <c r="E455" i="1"/>
  <c r="F455" i="1"/>
  <c r="G455" i="1"/>
  <c r="E457" i="1"/>
  <c r="F457" i="1"/>
  <c r="G457" i="1" s="1"/>
  <c r="E459" i="1"/>
  <c r="F459" i="1"/>
  <c r="G459" i="1"/>
  <c r="E461" i="1"/>
  <c r="F461" i="1"/>
  <c r="G461" i="1" s="1"/>
  <c r="E462" i="1"/>
  <c r="F462" i="1"/>
  <c r="G462" i="1"/>
  <c r="E466" i="1"/>
  <c r="F466" i="1"/>
  <c r="G466" i="1"/>
  <c r="E467" i="1"/>
  <c r="F467" i="1"/>
  <c r="G467" i="1" s="1"/>
  <c r="E468" i="1"/>
  <c r="F468" i="1"/>
  <c r="G468" i="1"/>
  <c r="E469" i="1"/>
  <c r="F469" i="1"/>
  <c r="G469" i="1" s="1"/>
  <c r="E470" i="1"/>
  <c r="F470" i="1"/>
  <c r="G470" i="1"/>
  <c r="E471" i="1"/>
  <c r="F471" i="1"/>
  <c r="G471" i="1" s="1"/>
  <c r="E472" i="1"/>
  <c r="F472" i="1"/>
  <c r="G472" i="1"/>
  <c r="E474" i="1"/>
  <c r="F474" i="1"/>
  <c r="G474" i="1" s="1"/>
  <c r="E475" i="1"/>
  <c r="F475" i="1"/>
  <c r="G475" i="1"/>
  <c r="E476" i="1"/>
  <c r="F476" i="1"/>
  <c r="G476" i="1" s="1"/>
  <c r="E477" i="1"/>
  <c r="F477" i="1"/>
  <c r="G477" i="1"/>
  <c r="E478" i="1"/>
  <c r="F478" i="1"/>
  <c r="G478" i="1" s="1"/>
  <c r="E479" i="1"/>
  <c r="F479" i="1"/>
  <c r="G479" i="1"/>
  <c r="E480" i="1"/>
  <c r="F480" i="1"/>
  <c r="G480" i="1" s="1"/>
  <c r="E481" i="1"/>
  <c r="F481" i="1"/>
  <c r="G481" i="1"/>
  <c r="E482" i="1"/>
  <c r="F482" i="1"/>
  <c r="G482" i="1" s="1"/>
  <c r="E485" i="1"/>
  <c r="F485" i="1"/>
  <c r="G485" i="1"/>
  <c r="E486" i="1"/>
  <c r="F486" i="1"/>
  <c r="G486" i="1" s="1"/>
  <c r="E487" i="1"/>
  <c r="F487" i="1"/>
  <c r="G487" i="1"/>
  <c r="E488" i="1"/>
  <c r="F488" i="1"/>
  <c r="G488" i="1" s="1"/>
  <c r="E489" i="1"/>
  <c r="F489" i="1"/>
  <c r="G489" i="1"/>
  <c r="E490" i="1"/>
  <c r="F490" i="1"/>
  <c r="G490" i="1" s="1"/>
  <c r="E491" i="1"/>
  <c r="F491" i="1"/>
  <c r="G491" i="1"/>
  <c r="E492" i="1"/>
  <c r="F492" i="1"/>
  <c r="G492" i="1" s="1"/>
  <c r="E494" i="1"/>
  <c r="F494" i="1"/>
  <c r="G494" i="1"/>
  <c r="E495" i="1"/>
  <c r="F495" i="1"/>
  <c r="G495" i="1" s="1"/>
  <c r="E496" i="1"/>
  <c r="F496" i="1"/>
  <c r="G496" i="1"/>
  <c r="E497" i="1"/>
  <c r="F497" i="1"/>
  <c r="G497" i="1" s="1"/>
  <c r="E498" i="1"/>
  <c r="F498" i="1"/>
  <c r="G498" i="1"/>
  <c r="E499" i="1"/>
  <c r="F499" i="1"/>
  <c r="G499" i="1" s="1"/>
  <c r="E500" i="1"/>
  <c r="F500" i="1"/>
  <c r="G500" i="1"/>
  <c r="E501" i="1"/>
  <c r="F501" i="1"/>
  <c r="G501" i="1" s="1"/>
  <c r="E504" i="1"/>
  <c r="F504" i="1"/>
  <c r="G504" i="1"/>
  <c r="E505" i="1"/>
  <c r="F505" i="1"/>
  <c r="G505" i="1" s="1"/>
  <c r="E506" i="1"/>
  <c r="F506" i="1"/>
  <c r="G506" i="1"/>
  <c r="E507" i="1"/>
  <c r="F507" i="1"/>
  <c r="G507" i="1" s="1"/>
  <c r="E508" i="1"/>
  <c r="F508" i="1"/>
  <c r="G508" i="1"/>
  <c r="E509" i="1"/>
  <c r="F509" i="1"/>
  <c r="G509" i="1" s="1"/>
  <c r="E510" i="1"/>
  <c r="F510" i="1"/>
  <c r="G510" i="1"/>
  <c r="E511" i="1"/>
  <c r="F511" i="1"/>
  <c r="G511" i="1" s="1"/>
  <c r="E513" i="1"/>
  <c r="F513" i="1"/>
  <c r="G513" i="1"/>
  <c r="E514" i="1"/>
  <c r="F514" i="1"/>
  <c r="G514" i="1" s="1"/>
  <c r="E515" i="1"/>
  <c r="F515" i="1"/>
  <c r="G515" i="1"/>
  <c r="E516" i="1"/>
  <c r="F516" i="1"/>
  <c r="G516" i="1" s="1"/>
  <c r="E517" i="1"/>
  <c r="F517" i="1"/>
  <c r="G517" i="1"/>
  <c r="E518" i="1"/>
  <c r="F518" i="1"/>
  <c r="G518" i="1" s="1"/>
  <c r="E519" i="1"/>
  <c r="F519" i="1"/>
  <c r="G519" i="1"/>
  <c r="E521" i="1"/>
  <c r="F521" i="1"/>
  <c r="G521" i="1" s="1"/>
  <c r="E522" i="1"/>
  <c r="F522" i="1"/>
  <c r="G522" i="1"/>
  <c r="E523" i="1"/>
  <c r="F523" i="1"/>
  <c r="G523" i="1" s="1"/>
  <c r="E526" i="1"/>
  <c r="F526" i="1"/>
  <c r="G526" i="1"/>
  <c r="E527" i="1"/>
  <c r="F527" i="1"/>
  <c r="G527" i="1" s="1"/>
  <c r="E528" i="1"/>
  <c r="F528" i="1"/>
  <c r="G528" i="1"/>
  <c r="E529" i="1"/>
  <c r="F529" i="1"/>
  <c r="G529" i="1" s="1"/>
  <c r="E530" i="1"/>
  <c r="F530" i="1"/>
  <c r="G530" i="1"/>
  <c r="E531" i="1"/>
  <c r="F531" i="1"/>
  <c r="G531" i="1" s="1"/>
  <c r="E532" i="1"/>
  <c r="F532" i="1"/>
  <c r="G532" i="1"/>
  <c r="E533" i="1"/>
  <c r="F533" i="1"/>
  <c r="G533" i="1" s="1"/>
  <c r="E534" i="1"/>
  <c r="F534" i="1"/>
  <c r="G534" i="1"/>
  <c r="E538" i="1"/>
  <c r="F538" i="1"/>
  <c r="G538" i="1"/>
  <c r="E539" i="1"/>
  <c r="F539" i="1"/>
  <c r="G539" i="1" s="1"/>
  <c r="E540" i="1"/>
  <c r="F540" i="1"/>
  <c r="G540" i="1"/>
  <c r="E541" i="1"/>
  <c r="F541" i="1"/>
  <c r="G541" i="1" s="1"/>
  <c r="E543" i="1"/>
  <c r="F543" i="1"/>
  <c r="G543" i="1"/>
  <c r="E544" i="1"/>
  <c r="F544" i="1"/>
  <c r="G544" i="1" s="1"/>
  <c r="E545" i="1"/>
  <c r="F545" i="1"/>
  <c r="G545" i="1"/>
  <c r="E546" i="1"/>
  <c r="F546" i="1"/>
  <c r="G546" i="1" s="1"/>
  <c r="E547" i="1"/>
  <c r="F547" i="1"/>
  <c r="G547" i="1"/>
  <c r="E548" i="1"/>
  <c r="F548" i="1"/>
  <c r="G548" i="1" s="1"/>
  <c r="E550" i="1"/>
  <c r="F550" i="1"/>
  <c r="G550" i="1"/>
  <c r="E551" i="1"/>
  <c r="F551" i="1"/>
  <c r="G551" i="1" s="1"/>
  <c r="E552" i="1"/>
  <c r="F552" i="1"/>
  <c r="G552" i="1"/>
  <c r="E553" i="1"/>
  <c r="F553" i="1"/>
  <c r="G553" i="1" s="1"/>
  <c r="E554" i="1"/>
  <c r="F554" i="1"/>
  <c r="G554" i="1"/>
  <c r="E555" i="1"/>
  <c r="F555" i="1"/>
  <c r="G555" i="1" s="1"/>
  <c r="E557" i="1"/>
  <c r="F557" i="1"/>
  <c r="G557" i="1"/>
  <c r="E558" i="1"/>
  <c r="F558" i="1"/>
  <c r="G558" i="1" s="1"/>
  <c r="E559" i="1"/>
  <c r="F559" i="1"/>
  <c r="G559" i="1"/>
  <c r="E560" i="1"/>
  <c r="F560" i="1"/>
  <c r="G560" i="1" s="1"/>
  <c r="E561" i="1"/>
  <c r="F561" i="1"/>
  <c r="G561" i="1"/>
  <c r="E562" i="1"/>
  <c r="F562" i="1"/>
  <c r="G562" i="1" s="1"/>
  <c r="E565" i="1"/>
  <c r="F565" i="1"/>
  <c r="G565" i="1" s="1"/>
  <c r="H563" i="1" s="1"/>
  <c r="E566" i="1"/>
  <c r="F566" i="1"/>
  <c r="G566" i="1"/>
  <c r="E567" i="1"/>
  <c r="F567" i="1"/>
  <c r="G567" i="1" s="1"/>
  <c r="E568" i="1"/>
  <c r="F568" i="1"/>
  <c r="G568" i="1"/>
  <c r="E569" i="1"/>
  <c r="F569" i="1"/>
  <c r="G569" i="1" s="1"/>
  <c r="E570" i="1"/>
  <c r="F570" i="1"/>
  <c r="G570" i="1"/>
  <c r="E571" i="1"/>
  <c r="F571" i="1"/>
  <c r="G571" i="1" s="1"/>
  <c r="E572" i="1"/>
  <c r="F572" i="1"/>
  <c r="G572" i="1"/>
  <c r="E573" i="1"/>
  <c r="F573" i="1"/>
  <c r="G573" i="1" s="1"/>
  <c r="E574" i="1"/>
  <c r="F574" i="1"/>
  <c r="G574" i="1"/>
  <c r="E575" i="1"/>
  <c r="F575" i="1"/>
  <c r="G575" i="1" s="1"/>
  <c r="E576" i="1"/>
  <c r="F576" i="1"/>
  <c r="G576" i="1"/>
  <c r="E580" i="1"/>
  <c r="F580" i="1"/>
  <c r="G580" i="1"/>
  <c r="E581" i="1"/>
  <c r="F581" i="1"/>
  <c r="G581" i="1" s="1"/>
  <c r="E582" i="1"/>
  <c r="F582" i="1"/>
  <c r="G582" i="1"/>
  <c r="E584" i="1"/>
  <c r="F584" i="1"/>
  <c r="G584" i="1" s="1"/>
  <c r="E585" i="1"/>
  <c r="F585" i="1"/>
  <c r="G585" i="1"/>
  <c r="E586" i="1"/>
  <c r="F586" i="1"/>
  <c r="G586" i="1" s="1"/>
  <c r="E587" i="1"/>
  <c r="F587" i="1"/>
  <c r="G587" i="1"/>
  <c r="E589" i="1"/>
  <c r="F589" i="1"/>
  <c r="G589" i="1" s="1"/>
  <c r="E590" i="1"/>
  <c r="F590" i="1"/>
  <c r="G590" i="1"/>
  <c r="E591" i="1"/>
  <c r="F591" i="1"/>
  <c r="G591" i="1" s="1"/>
  <c r="E592" i="1"/>
  <c r="F592" i="1"/>
  <c r="G592" i="1"/>
  <c r="E594" i="1"/>
  <c r="F594" i="1"/>
  <c r="G594" i="1" s="1"/>
  <c r="E595" i="1"/>
  <c r="F595" i="1"/>
  <c r="G595" i="1"/>
  <c r="E596" i="1"/>
  <c r="F596" i="1"/>
  <c r="G596" i="1" s="1"/>
  <c r="E597" i="1"/>
  <c r="F597" i="1"/>
  <c r="G597" i="1"/>
  <c r="E599" i="1"/>
  <c r="F599" i="1"/>
  <c r="G599" i="1" s="1"/>
  <c r="E601" i="1"/>
  <c r="F601" i="1"/>
  <c r="G601" i="1"/>
  <c r="E605" i="1"/>
  <c r="F605" i="1"/>
  <c r="G605" i="1"/>
  <c r="E607" i="1"/>
  <c r="F607" i="1"/>
  <c r="G607" i="1" s="1"/>
  <c r="E610" i="1"/>
  <c r="F610" i="1"/>
  <c r="G610" i="1"/>
  <c r="E614" i="1"/>
  <c r="F614" i="1"/>
  <c r="G614" i="1"/>
  <c r="E615" i="1"/>
  <c r="F615" i="1"/>
  <c r="G615" i="1" s="1"/>
  <c r="E617" i="1"/>
  <c r="F617" i="1"/>
  <c r="G617" i="1"/>
  <c r="E618" i="1"/>
  <c r="F618" i="1"/>
  <c r="G618" i="1" s="1"/>
  <c r="E619" i="1"/>
  <c r="F619" i="1"/>
  <c r="G619" i="1"/>
  <c r="E622" i="1"/>
  <c r="F622" i="1"/>
  <c r="G622" i="1" s="1"/>
  <c r="E623" i="1"/>
  <c r="F623" i="1"/>
  <c r="G623" i="1"/>
  <c r="E625" i="1"/>
  <c r="F625" i="1"/>
  <c r="G625" i="1" s="1"/>
  <c r="E626" i="1"/>
  <c r="F626" i="1"/>
  <c r="G626" i="1"/>
  <c r="E627" i="1"/>
  <c r="F627" i="1"/>
  <c r="G627" i="1" s="1"/>
  <c r="E628" i="1"/>
  <c r="F628" i="1"/>
  <c r="G628" i="1"/>
  <c r="E631" i="1"/>
  <c r="F631" i="1"/>
  <c r="G631" i="1" s="1"/>
  <c r="E632" i="1"/>
  <c r="F632" i="1"/>
  <c r="G632" i="1"/>
  <c r="E634" i="1"/>
  <c r="F634" i="1"/>
  <c r="G634" i="1" s="1"/>
  <c r="E635" i="1"/>
  <c r="F635" i="1"/>
  <c r="G635" i="1"/>
  <c r="E636" i="1"/>
  <c r="F636" i="1"/>
  <c r="G636" i="1" s="1"/>
  <c r="E637" i="1"/>
  <c r="F637" i="1"/>
  <c r="G637" i="1"/>
  <c r="E640" i="1"/>
  <c r="F640" i="1"/>
  <c r="G640" i="1" s="1"/>
  <c r="E641" i="1"/>
  <c r="F641" i="1"/>
  <c r="G641" i="1"/>
  <c r="E643" i="1"/>
  <c r="F643" i="1"/>
  <c r="G643" i="1" s="1"/>
  <c r="E644" i="1"/>
  <c r="F644" i="1"/>
  <c r="G644" i="1"/>
  <c r="E645" i="1"/>
  <c r="F645" i="1"/>
  <c r="G645" i="1" s="1"/>
  <c r="E647" i="1"/>
  <c r="F647" i="1"/>
  <c r="G647" i="1"/>
  <c r="E648" i="1"/>
  <c r="F648" i="1"/>
  <c r="G648" i="1" s="1"/>
  <c r="E651" i="1"/>
  <c r="F651" i="1"/>
  <c r="G651" i="1"/>
  <c r="E653" i="1"/>
  <c r="F653" i="1"/>
  <c r="G653" i="1" s="1"/>
  <c r="E654" i="1"/>
  <c r="F654" i="1"/>
  <c r="G654" i="1"/>
  <c r="E655" i="1"/>
  <c r="F655" i="1"/>
  <c r="G655" i="1" s="1"/>
  <c r="E658" i="1"/>
  <c r="F658" i="1"/>
  <c r="G658" i="1"/>
  <c r="E659" i="1"/>
  <c r="F659" i="1"/>
  <c r="G659" i="1" s="1"/>
  <c r="E662" i="1"/>
  <c r="F662" i="1"/>
  <c r="G662" i="1" s="1"/>
  <c r="H660" i="1" s="1"/>
  <c r="E663" i="1"/>
  <c r="F663" i="1"/>
  <c r="G663" i="1"/>
  <c r="E664" i="1"/>
  <c r="F664" i="1"/>
  <c r="G664" i="1" s="1"/>
  <c r="E665" i="1"/>
  <c r="F665" i="1"/>
  <c r="G665" i="1"/>
  <c r="E667" i="1"/>
  <c r="F667" i="1"/>
  <c r="G667" i="1" s="1"/>
  <c r="E669" i="1"/>
  <c r="F669" i="1"/>
  <c r="G669" i="1"/>
  <c r="E674" i="1"/>
  <c r="F674" i="1"/>
  <c r="G674" i="1"/>
  <c r="E676" i="1"/>
  <c r="F676" i="1"/>
  <c r="G676" i="1" s="1"/>
  <c r="E677" i="1"/>
  <c r="F677" i="1"/>
  <c r="G677" i="1"/>
  <c r="E678" i="1"/>
  <c r="F678" i="1"/>
  <c r="G678" i="1" s="1"/>
  <c r="E681" i="1"/>
  <c r="F681" i="1"/>
  <c r="G681" i="1"/>
  <c r="E683" i="1"/>
  <c r="F683" i="1"/>
  <c r="G683" i="1" s="1"/>
  <c r="E684" i="1"/>
  <c r="F684" i="1"/>
  <c r="G684" i="1"/>
  <c r="E687" i="1"/>
  <c r="F687" i="1"/>
  <c r="G687" i="1" s="1"/>
  <c r="E689" i="1"/>
  <c r="F689" i="1"/>
  <c r="G689" i="1"/>
  <c r="E690" i="1"/>
  <c r="F690" i="1"/>
  <c r="G690" i="1" s="1"/>
  <c r="E694" i="1"/>
  <c r="F694" i="1"/>
  <c r="G694" i="1"/>
  <c r="E697" i="1"/>
  <c r="F697" i="1"/>
  <c r="G697" i="1" s="1"/>
  <c r="E699" i="1"/>
  <c r="F699" i="1"/>
  <c r="G699" i="1"/>
  <c r="E700" i="1"/>
  <c r="F700" i="1"/>
  <c r="G700" i="1" s="1"/>
  <c r="E703" i="1"/>
  <c r="F703" i="1"/>
  <c r="G703" i="1"/>
  <c r="E705" i="1"/>
  <c r="F705" i="1"/>
  <c r="G705" i="1" s="1"/>
  <c r="E706" i="1"/>
  <c r="F706" i="1"/>
  <c r="G706" i="1"/>
  <c r="E709" i="1"/>
  <c r="F709" i="1"/>
  <c r="G709" i="1" s="1"/>
  <c r="E711" i="1"/>
  <c r="F711" i="1"/>
  <c r="G711" i="1"/>
  <c r="E712" i="1"/>
  <c r="F712" i="1"/>
  <c r="G712" i="1" s="1"/>
  <c r="E713" i="1"/>
  <c r="F713" i="1"/>
  <c r="G713" i="1"/>
  <c r="E717" i="1"/>
  <c r="F717" i="1"/>
  <c r="G717" i="1" s="1"/>
  <c r="E719" i="1"/>
  <c r="F719" i="1"/>
  <c r="G719" i="1"/>
  <c r="E720" i="1"/>
  <c r="F720" i="1"/>
  <c r="G720" i="1" s="1"/>
  <c r="E723" i="1"/>
  <c r="F723" i="1"/>
  <c r="G723" i="1"/>
  <c r="E725" i="1"/>
  <c r="F725" i="1"/>
  <c r="G725" i="1" s="1"/>
  <c r="E726" i="1"/>
  <c r="F726" i="1"/>
  <c r="G726" i="1"/>
  <c r="E729" i="1"/>
  <c r="F729" i="1"/>
  <c r="G729" i="1" s="1"/>
  <c r="E731" i="1"/>
  <c r="F731" i="1"/>
  <c r="G731" i="1"/>
  <c r="E732" i="1"/>
  <c r="F732" i="1"/>
  <c r="G732" i="1" s="1"/>
  <c r="E735" i="1"/>
  <c r="F735" i="1"/>
  <c r="G735" i="1"/>
  <c r="E737" i="1"/>
  <c r="F737" i="1"/>
  <c r="G737" i="1" s="1"/>
  <c r="E738" i="1"/>
  <c r="F738" i="1"/>
  <c r="G738" i="1"/>
  <c r="E742" i="1"/>
  <c r="F742" i="1"/>
  <c r="G742" i="1" s="1"/>
  <c r="E746" i="1"/>
  <c r="F746" i="1"/>
  <c r="G746" i="1"/>
  <c r="E748" i="1"/>
  <c r="F748" i="1"/>
  <c r="G748" i="1" s="1"/>
  <c r="E749" i="1"/>
  <c r="F749" i="1"/>
  <c r="G749" i="1"/>
  <c r="E750" i="1"/>
  <c r="F750" i="1"/>
  <c r="G750" i="1" s="1"/>
  <c r="E753" i="1"/>
  <c r="F753" i="1"/>
  <c r="G753" i="1"/>
  <c r="E755" i="1"/>
  <c r="F755" i="1"/>
  <c r="G755" i="1" s="1"/>
  <c r="E756" i="1"/>
  <c r="F756" i="1"/>
  <c r="G756" i="1"/>
  <c r="E757" i="1"/>
  <c r="F757" i="1"/>
  <c r="G757" i="1" s="1"/>
  <c r="E760" i="1"/>
  <c r="F760" i="1"/>
  <c r="G760" i="1"/>
  <c r="E762" i="1"/>
  <c r="F762" i="1"/>
  <c r="G762" i="1" s="1"/>
  <c r="E763" i="1"/>
  <c r="F763" i="1"/>
  <c r="G763" i="1"/>
  <c r="E764" i="1"/>
  <c r="F764" i="1"/>
  <c r="G764" i="1" s="1"/>
  <c r="E766" i="1"/>
  <c r="F766" i="1"/>
  <c r="G766" i="1"/>
  <c r="E767" i="1"/>
  <c r="F767" i="1"/>
  <c r="G767" i="1" s="1"/>
  <c r="E768" i="1"/>
  <c r="F768" i="1"/>
  <c r="G768" i="1"/>
  <c r="E771" i="1"/>
  <c r="F771" i="1"/>
  <c r="G771" i="1"/>
  <c r="E773" i="1"/>
  <c r="F773" i="1"/>
  <c r="G773" i="1" s="1"/>
  <c r="E774" i="1"/>
  <c r="F774" i="1"/>
  <c r="G774" i="1"/>
  <c r="E776" i="1"/>
  <c r="F776" i="1"/>
  <c r="G776" i="1" s="1"/>
  <c r="E777" i="1"/>
  <c r="F777" i="1"/>
  <c r="G777" i="1"/>
  <c r="E782" i="1"/>
  <c r="F782" i="1"/>
  <c r="G782" i="1"/>
  <c r="E785" i="1"/>
  <c r="F785" i="1"/>
  <c r="G785" i="1" s="1"/>
  <c r="E789" i="1"/>
  <c r="F789" i="1"/>
  <c r="G789" i="1"/>
  <c r="E791" i="1"/>
  <c r="F791" i="1"/>
  <c r="G791" i="1" s="1"/>
  <c r="E794" i="1"/>
  <c r="F794" i="1"/>
  <c r="G794" i="1"/>
  <c r="E796" i="1"/>
  <c r="F796" i="1"/>
  <c r="G796" i="1" s="1"/>
  <c r="E799" i="1"/>
  <c r="F799" i="1"/>
  <c r="G799" i="1"/>
  <c r="E801" i="1"/>
  <c r="F801" i="1"/>
  <c r="G801" i="1" s="1"/>
  <c r="E805" i="1"/>
  <c r="F805" i="1"/>
  <c r="G805" i="1"/>
  <c r="E807" i="1"/>
  <c r="F807" i="1"/>
  <c r="G807" i="1" s="1"/>
  <c r="E810" i="1"/>
  <c r="F810" i="1"/>
  <c r="G810" i="1"/>
  <c r="E812" i="1"/>
  <c r="F812" i="1"/>
  <c r="G812" i="1" s="1"/>
  <c r="E815" i="1"/>
  <c r="F815" i="1"/>
  <c r="G815" i="1"/>
  <c r="E817" i="1"/>
  <c r="F817" i="1"/>
  <c r="G817" i="1" s="1"/>
  <c r="E821" i="1"/>
  <c r="F821" i="1"/>
  <c r="G821" i="1"/>
  <c r="E824" i="1"/>
  <c r="F824" i="1"/>
  <c r="G824" i="1" s="1"/>
  <c r="E827" i="1"/>
  <c r="F827" i="1"/>
  <c r="G827" i="1"/>
  <c r="E832" i="1"/>
  <c r="F832" i="1"/>
  <c r="G832" i="1"/>
  <c r="E833" i="1"/>
  <c r="F833" i="1"/>
  <c r="G833" i="1" s="1"/>
  <c r="E834" i="1"/>
  <c r="F834" i="1"/>
  <c r="G834" i="1"/>
  <c r="E835" i="1"/>
  <c r="F835" i="1"/>
  <c r="G835" i="1" s="1"/>
  <c r="E836" i="1"/>
  <c r="F836" i="1"/>
  <c r="G836" i="1"/>
  <c r="E838" i="1"/>
  <c r="F838" i="1"/>
  <c r="G838" i="1" s="1"/>
  <c r="E839" i="1"/>
  <c r="F839" i="1"/>
  <c r="G839" i="1"/>
  <c r="E840" i="1"/>
  <c r="F840" i="1"/>
  <c r="G840" i="1" s="1"/>
  <c r="E841" i="1"/>
  <c r="F841" i="1"/>
  <c r="G841" i="1"/>
  <c r="E842" i="1"/>
  <c r="F842" i="1"/>
  <c r="G842" i="1" s="1"/>
  <c r="E843" i="1"/>
  <c r="F843" i="1"/>
  <c r="G843" i="1"/>
  <c r="E844" i="1"/>
  <c r="F844" i="1"/>
  <c r="G844" i="1" s="1"/>
  <c r="E846" i="1"/>
  <c r="F846" i="1"/>
  <c r="G846" i="1"/>
  <c r="E848" i="1"/>
  <c r="F848" i="1"/>
  <c r="G848" i="1" s="1"/>
  <c r="E849" i="1"/>
  <c r="F849" i="1"/>
  <c r="G849" i="1"/>
  <c r="E853" i="1"/>
  <c r="F853" i="1"/>
  <c r="G853" i="1" s="1"/>
  <c r="E854" i="1"/>
  <c r="F854" i="1"/>
  <c r="G854" i="1"/>
  <c r="E855" i="1"/>
  <c r="F855" i="1"/>
  <c r="G855" i="1" s="1"/>
  <c r="E857" i="1"/>
  <c r="F857" i="1"/>
  <c r="G857" i="1"/>
  <c r="E858" i="1"/>
  <c r="F858" i="1"/>
  <c r="G858" i="1" s="1"/>
  <c r="E859" i="1"/>
  <c r="F859" i="1"/>
  <c r="G859" i="1"/>
  <c r="E860" i="1"/>
  <c r="F860" i="1"/>
  <c r="G860" i="1" s="1"/>
  <c r="E861" i="1"/>
  <c r="F861" i="1"/>
  <c r="G861" i="1"/>
  <c r="E862" i="1"/>
  <c r="F862" i="1"/>
  <c r="G862" i="1" s="1"/>
  <c r="E864" i="1"/>
  <c r="F864" i="1"/>
  <c r="G864" i="1"/>
  <c r="E866" i="1"/>
  <c r="F866" i="1"/>
  <c r="G866" i="1" s="1"/>
  <c r="E867" i="1"/>
  <c r="F867" i="1"/>
  <c r="G867" i="1"/>
  <c r="E871" i="1"/>
  <c r="F871" i="1"/>
  <c r="G871" i="1"/>
  <c r="E872" i="1"/>
  <c r="F872" i="1"/>
  <c r="G872" i="1" s="1"/>
  <c r="E873" i="1"/>
  <c r="F873" i="1"/>
  <c r="G873" i="1"/>
  <c r="E875" i="1"/>
  <c r="F875" i="1"/>
  <c r="G875" i="1" s="1"/>
  <c r="E876" i="1"/>
  <c r="F876" i="1"/>
  <c r="G876" i="1"/>
  <c r="E877" i="1"/>
  <c r="F877" i="1"/>
  <c r="G877" i="1" s="1"/>
  <c r="E878" i="1"/>
  <c r="F878" i="1"/>
  <c r="G878" i="1"/>
  <c r="E880" i="1"/>
  <c r="F880" i="1"/>
  <c r="G880" i="1" s="1"/>
  <c r="E881" i="1"/>
  <c r="F881" i="1"/>
  <c r="G881" i="1"/>
  <c r="E882" i="1"/>
  <c r="F882" i="1"/>
  <c r="G882" i="1" s="1"/>
  <c r="E883" i="1"/>
  <c r="F883" i="1"/>
  <c r="G883" i="1"/>
  <c r="E885" i="1"/>
  <c r="F885" i="1"/>
  <c r="G885" i="1" s="1"/>
  <c r="E886" i="1"/>
  <c r="F886" i="1"/>
  <c r="G886" i="1"/>
  <c r="E887" i="1"/>
  <c r="F887" i="1"/>
  <c r="G887" i="1" s="1"/>
  <c r="E888" i="1"/>
  <c r="F888" i="1"/>
  <c r="G888" i="1"/>
  <c r="E891" i="1"/>
  <c r="F891" i="1"/>
  <c r="G891" i="1"/>
  <c r="H889" i="1" s="1"/>
  <c r="E894" i="1"/>
  <c r="F894" i="1"/>
  <c r="G894" i="1"/>
  <c r="E896" i="1"/>
  <c r="F896" i="1"/>
  <c r="G896" i="1" s="1"/>
  <c r="E897" i="1"/>
  <c r="F897" i="1"/>
  <c r="G897" i="1"/>
  <c r="E898" i="1"/>
  <c r="F898" i="1"/>
  <c r="G898" i="1" s="1"/>
  <c r="E899" i="1"/>
  <c r="F899" i="1"/>
  <c r="G899" i="1"/>
  <c r="E900" i="1"/>
  <c r="F900" i="1"/>
  <c r="G900" i="1" s="1"/>
  <c r="E901" i="1"/>
  <c r="F901" i="1"/>
  <c r="G901" i="1"/>
  <c r="E903" i="1"/>
  <c r="F903" i="1"/>
  <c r="G903" i="1" s="1"/>
  <c r="E904" i="1"/>
  <c r="F904" i="1"/>
  <c r="G904" i="1"/>
  <c r="E905" i="1"/>
  <c r="F905" i="1"/>
  <c r="G905" i="1" s="1"/>
  <c r="E907" i="1"/>
  <c r="F907" i="1"/>
  <c r="G907" i="1"/>
  <c r="E908" i="1"/>
  <c r="F908" i="1"/>
  <c r="G908" i="1" s="1"/>
  <c r="E909" i="1"/>
  <c r="F909" i="1"/>
  <c r="G909" i="1"/>
  <c r="E912" i="1"/>
  <c r="F912" i="1"/>
  <c r="G912" i="1"/>
  <c r="E913" i="1"/>
  <c r="F913" i="1"/>
  <c r="G913" i="1" s="1"/>
  <c r="E915" i="1"/>
  <c r="F915" i="1"/>
  <c r="G915" i="1"/>
  <c r="H925" i="1"/>
  <c r="H926" i="1"/>
  <c r="H924" i="1" s="1"/>
  <c r="H931" i="1"/>
  <c r="H932" i="1"/>
  <c r="H933" i="1"/>
  <c r="H934" i="1"/>
  <c r="H936" i="1"/>
  <c r="H937" i="1"/>
  <c r="H939" i="1"/>
  <c r="H940" i="1"/>
  <c r="H941" i="1"/>
  <c r="H942" i="1"/>
  <c r="H943" i="1"/>
  <c r="H944" i="1"/>
  <c r="H945" i="1"/>
  <c r="H946" i="1"/>
  <c r="H947" i="1"/>
  <c r="H949" i="1"/>
  <c r="H950" i="1"/>
  <c r="G951" i="1"/>
  <c r="H951" i="1" s="1"/>
  <c r="H952" i="1"/>
  <c r="H953" i="1"/>
  <c r="H954" i="1"/>
  <c r="H955" i="1"/>
  <c r="H956" i="1"/>
  <c r="H957" i="1"/>
  <c r="H958" i="1"/>
  <c r="H959" i="1"/>
  <c r="H960" i="1"/>
  <c r="H961" i="1"/>
  <c r="H962" i="1"/>
  <c r="H963" i="1"/>
  <c r="H964" i="1"/>
  <c r="H966" i="1"/>
  <c r="H967" i="1"/>
  <c r="H968" i="1"/>
  <c r="H969" i="1"/>
  <c r="H970" i="1"/>
  <c r="H971" i="1"/>
  <c r="H972" i="1"/>
  <c r="H973" i="1"/>
  <c r="H974" i="1"/>
  <c r="H975" i="1"/>
  <c r="H976" i="1"/>
  <c r="H977" i="1"/>
  <c r="H979" i="1"/>
  <c r="H980" i="1"/>
  <c r="H981" i="1"/>
  <c r="H982" i="1"/>
  <c r="H983" i="1"/>
  <c r="H984" i="1"/>
  <c r="H985" i="1"/>
  <c r="H986" i="1"/>
  <c r="H987" i="1"/>
  <c r="H988" i="1"/>
  <c r="H990" i="1"/>
  <c r="H991" i="1"/>
  <c r="G992" i="1"/>
  <c r="H992" i="1"/>
  <c r="H993" i="1"/>
  <c r="H994" i="1"/>
  <c r="H995" i="1"/>
  <c r="H996" i="1"/>
  <c r="H997" i="1"/>
  <c r="H999" i="1"/>
  <c r="H1000" i="1"/>
  <c r="H1001" i="1"/>
  <c r="G1002" i="1"/>
  <c r="H1002" i="1"/>
  <c r="H1003" i="1"/>
  <c r="H1004" i="1"/>
  <c r="H1005" i="1"/>
  <c r="H1006" i="1"/>
  <c r="H1008" i="1"/>
  <c r="H1009" i="1"/>
  <c r="H1010" i="1"/>
  <c r="H1011" i="1"/>
  <c r="H1012" i="1"/>
  <c r="H1013" i="1"/>
  <c r="H1014" i="1"/>
  <c r="H1015" i="1"/>
  <c r="H1016" i="1"/>
  <c r="H1017" i="1"/>
  <c r="H1018" i="1"/>
  <c r="H1020" i="1"/>
  <c r="H1021" i="1"/>
  <c r="H1022" i="1"/>
  <c r="H1023" i="1"/>
  <c r="H1024" i="1"/>
  <c r="H1025" i="1"/>
  <c r="H1026" i="1"/>
  <c r="H1027" i="1"/>
  <c r="H1028" i="1"/>
  <c r="H1029" i="1"/>
  <c r="H1031" i="1"/>
  <c r="H1032" i="1"/>
  <c r="H1033" i="1"/>
  <c r="H1034" i="1"/>
  <c r="H1035" i="1"/>
  <c r="H1036" i="1"/>
  <c r="H1037" i="1"/>
  <c r="H1038" i="1"/>
  <c r="H1040" i="1"/>
  <c r="H1041" i="1"/>
  <c r="H1042" i="1"/>
  <c r="H1043" i="1"/>
  <c r="H1044" i="1"/>
  <c r="G1045" i="1"/>
  <c r="H1045" i="1"/>
  <c r="H1046" i="1"/>
  <c r="H1047" i="1"/>
  <c r="H1048" i="1"/>
  <c r="H1049" i="1"/>
  <c r="H1051" i="1"/>
  <c r="H1052" i="1"/>
  <c r="H1053" i="1"/>
  <c r="H1054" i="1"/>
  <c r="H1055" i="1"/>
  <c r="H1056" i="1"/>
  <c r="G1057" i="1"/>
  <c r="H1057" i="1"/>
  <c r="H1058" i="1"/>
  <c r="H1059" i="1"/>
  <c r="H1060" i="1"/>
  <c r="H1061" i="1"/>
  <c r="H1062" i="1"/>
  <c r="H1064" i="1"/>
  <c r="H1065" i="1"/>
  <c r="G1066" i="1"/>
  <c r="H1066" i="1" s="1"/>
  <c r="H1067" i="1"/>
  <c r="H1068" i="1"/>
  <c r="H1069" i="1"/>
  <c r="H1070" i="1"/>
  <c r="H1071" i="1"/>
  <c r="H1073" i="1"/>
  <c r="H1074" i="1"/>
  <c r="H1075" i="1"/>
  <c r="H1076" i="1"/>
  <c r="H1077" i="1"/>
  <c r="H1078" i="1"/>
  <c r="H1079" i="1"/>
  <c r="H1080" i="1"/>
  <c r="H1082" i="1"/>
  <c r="H1083" i="1"/>
  <c r="H1084" i="1"/>
  <c r="H1085" i="1"/>
  <c r="H1086" i="1"/>
  <c r="H1087" i="1"/>
  <c r="H1088" i="1"/>
  <c r="H1089" i="1"/>
  <c r="H1090" i="1"/>
  <c r="H1091" i="1"/>
  <c r="H1092" i="1"/>
  <c r="H1094" i="1"/>
  <c r="H1095" i="1"/>
  <c r="H1096" i="1"/>
  <c r="H1097" i="1"/>
  <c r="H1098" i="1"/>
  <c r="H1099" i="1"/>
  <c r="H1100" i="1"/>
  <c r="H1101" i="1"/>
  <c r="H1102" i="1"/>
  <c r="H1103" i="1"/>
  <c r="H1104" i="1"/>
  <c r="H1106" i="1"/>
  <c r="H1107" i="1"/>
  <c r="H1108" i="1"/>
  <c r="H1109" i="1"/>
  <c r="H1110" i="1"/>
  <c r="H1111" i="1"/>
  <c r="H1112" i="1"/>
  <c r="H1113" i="1"/>
  <c r="H1114" i="1"/>
  <c r="H1115" i="1"/>
  <c r="H1117" i="1"/>
  <c r="H1118" i="1"/>
  <c r="H1119" i="1"/>
  <c r="H1120" i="1"/>
  <c r="H1121" i="1"/>
  <c r="H1122" i="1"/>
  <c r="H1123" i="1"/>
  <c r="H1124" i="1"/>
  <c r="H1125" i="1"/>
  <c r="G1126" i="1"/>
  <c r="H1126" i="1" s="1"/>
  <c r="H1127" i="1"/>
  <c r="H1128" i="1"/>
  <c r="H1130" i="1"/>
  <c r="H1131" i="1"/>
  <c r="G1132" i="1"/>
  <c r="H1132" i="1" s="1"/>
  <c r="H1133" i="1"/>
  <c r="H1134" i="1"/>
  <c r="H1135" i="1"/>
  <c r="H1137" i="1"/>
  <c r="H1138" i="1"/>
  <c r="H1139" i="1"/>
  <c r="H1140" i="1"/>
  <c r="H1141" i="1"/>
  <c r="H1142" i="1"/>
  <c r="H1143" i="1"/>
  <c r="H1144" i="1"/>
  <c r="H1145" i="1"/>
  <c r="H910" i="1" l="1"/>
  <c r="H868" i="1"/>
  <c r="H828" i="1"/>
  <c r="H769" i="1"/>
  <c r="H1147" i="1"/>
  <c r="H1148" i="1" s="1"/>
  <c r="H1149" i="1" s="1"/>
  <c r="H892" i="1"/>
  <c r="H778" i="1"/>
  <c r="H611" i="1"/>
  <c r="H602" i="1"/>
  <c r="H244" i="1"/>
  <c r="H127" i="1"/>
  <c r="H670" i="1"/>
  <c r="H577" i="1"/>
  <c r="H535" i="1"/>
  <c r="H463" i="1"/>
  <c r="H49" i="1"/>
  <c r="H27" i="1"/>
  <c r="H916" i="1" s="1"/>
  <c r="H918" i="1" l="1"/>
  <c r="H920" i="1"/>
  <c r="H921" i="1" s="1"/>
  <c r="H919" i="1"/>
  <c r="H917" i="1" l="1"/>
  <c r="H922" i="1" s="1"/>
  <c r="H1150" i="1" s="1"/>
  <c r="F7" i="1" s="1"/>
</calcChain>
</file>

<file path=xl/sharedStrings.xml><?xml version="1.0" encoding="utf-8"?>
<sst xmlns="http://schemas.openxmlformats.org/spreadsheetml/2006/main" count="2596" uniqueCount="1135">
  <si>
    <t xml:space="preserve">PRESUPUESTO DE OBRA </t>
  </si>
  <si>
    <t xml:space="preserve">UNIVERSIDAD DE CORDOBA                                                                            </t>
  </si>
  <si>
    <t xml:space="preserve">OBRA: Construccion, culminacion y dotacion de laboratorios integrales de la facultad de ciencias basicas, para el fortalecimiento de la capacidad investigativa en la Universidad de Cordoba.           </t>
  </si>
  <si>
    <t>VALOR</t>
  </si>
  <si>
    <t>PLAZO</t>
  </si>
  <si>
    <t>FECHA</t>
  </si>
  <si>
    <t>PRESUPUESTO DE OBRA</t>
  </si>
  <si>
    <t xml:space="preserve">OBRA: Construccion y dotacion de laboratorios integrales de la facultad de ciencias basicas, para el fortalecimiento de la capacidad investigativa en la Universidad de Cordoba.           </t>
  </si>
  <si>
    <t>ÍTEM</t>
  </si>
  <si>
    <t xml:space="preserve">DESCRIPCIÓN </t>
  </si>
  <si>
    <t>UND.</t>
  </si>
  <si>
    <t xml:space="preserve">CONDICIONES ORIGINALES </t>
  </si>
  <si>
    <t>CANTIDAD</t>
  </si>
  <si>
    <t>VALOR UNITARIO</t>
  </si>
  <si>
    <t>VALOR TOTAL</t>
  </si>
  <si>
    <t>V. CAPITULO</t>
  </si>
  <si>
    <t>PRELIMINARES</t>
  </si>
  <si>
    <t>1.1</t>
  </si>
  <si>
    <t xml:space="preserve">Localización y Replanteo   </t>
  </si>
  <si>
    <t>m2</t>
  </si>
  <si>
    <t>CIMENTACION</t>
  </si>
  <si>
    <t xml:space="preserve">RELLENOS    (INCLUYE TODAS LAS HERRAMIENTAS, EQUIPOS, MANO DE OBRA, TRANSPORTE INTERNO - EXTERNO, INSUMOS Y MATERIALES NECESARIOS PARA SU CORRECTA EJECUCIÓN) </t>
  </si>
  <si>
    <t>2.2.2</t>
  </si>
  <si>
    <t>Relleno con material seleccionado (incluye compactación en capas no mayores a 30 cm)</t>
  </si>
  <si>
    <t>m3</t>
  </si>
  <si>
    <t>2.2.4</t>
  </si>
  <si>
    <t>Relleno con material de excavación para zonas verdes (Incluye movimiento , acopio y distribución en las zonas determinadas)</t>
  </si>
  <si>
    <t>2.2.5</t>
  </si>
  <si>
    <t>Relleno con material de aluvión para zonas verdes y jardineras ( Incluye suministró e instalación)</t>
  </si>
  <si>
    <t>Tanque de  Agua   Incendio  y  Suministro (INCLUYE TODAS LAS HERRAMIENTAS, EQUIPOS, MANO DE OBRA, TRANSPORTE INTERNO -EXTERNO, INSUMOS Y MATERIALES NECESARIOS PARA SU CORRECTA EJECUCIÓN)</t>
  </si>
  <si>
    <t>Tanque  Agua Potable (INCLUYE TODAS LAS HERRAMIENTAS, EQUIPOS, MANO DE OBRA, TRANSPORTE INTERNO - EXTERNO, INSUMOS Y MATERIALES NECESARIOS PARA SU CORRECTA EJECUCIÓN)</t>
  </si>
  <si>
    <t>2.4.1.9</t>
  </si>
  <si>
    <t>Caseta de bombeo</t>
  </si>
  <si>
    <t>und</t>
  </si>
  <si>
    <t>2.4.2</t>
  </si>
  <si>
    <t>Tanque  Aguas  Lluvias (INCLUYE TODAS LAS HERRAMIENTAS, EQUIPOS, MANO DE OBRA, TRANSPORTE INTERNO - EXTERNO, INSUMOS Y MATERIALES NECESARIOS PARA SU CORRECTA EJECUCIÓN)</t>
  </si>
  <si>
    <t>2.4.3</t>
  </si>
  <si>
    <t>Tanque Red contra incendio (INCLUYE TODAS LAS HERRAMIENTAS, EQUIPOS, MANO DE OBRA, TRANSPORTE INTERNO - EXTERNO, INSUMOS Y MATERIALES NECESARIOS PARA SU CORRECTA EJECUCIÓN)</t>
  </si>
  <si>
    <t>2.4.3.1</t>
  </si>
  <si>
    <t>Excavación  Manual  Tanque (incluye retiro, cargue y transporte fuera de la obra)</t>
  </si>
  <si>
    <t>2.4.3.2</t>
  </si>
  <si>
    <t>Relleno con material seleccionado para fondo de tanque (incluye compactación en capas no mayores a 30 cm)</t>
  </si>
  <si>
    <t>2.4.3.3</t>
  </si>
  <si>
    <t>Concreto  Pobre  e=5cm  f'c=2.500 psi   17.5  Mpa</t>
  </si>
  <si>
    <t>2.4.3.4</t>
  </si>
  <si>
    <t xml:space="preserve">Placa   Fondo  Tanque de Agua   Maciza  e=25  cm    en  concreto Impermebealizado  f'c=4.000 psi  28 Mpa   </t>
  </si>
  <si>
    <t>2.4.3.5</t>
  </si>
  <si>
    <t xml:space="preserve">Muro  Tanque  de   Agua  en  concreto Impermeabilizado f'c=4.000 psi   28 Mpa.  </t>
  </si>
  <si>
    <t>2.4.3.6</t>
  </si>
  <si>
    <t xml:space="preserve">Placa   Tapa  Tanque de Agua   Maciza  e=20  cm    en  concreto  Impermeabilizado. f'c=4.000 psi  28 Mpa   </t>
  </si>
  <si>
    <t>2.4.3.7</t>
  </si>
  <si>
    <t>Suministro e instalación de tapa + cuello de manhole en polipropileno reciclado</t>
  </si>
  <si>
    <t>2.4.3.8</t>
  </si>
  <si>
    <t>Suministro e instalacion de escalera en tuberia galvanizada de 1 1/2", para acceso al tanque</t>
  </si>
  <si>
    <t>ml</t>
  </si>
  <si>
    <t>2.4.3.9</t>
  </si>
  <si>
    <t>REFUERZO  CIMENTACION   :   Acero de refuerzo PDR-60 f'y=4.200 kg/cm2 (420Mpa) (INCLUYE TODAS LAS HERRAMIENTAS, EQUIPOS, MANO DE OBRA, TRANSPORTE INTERNO - EXTERNO, INSUMOS Y MATERIALES NECESARIOS PARA SU CORRECTA EJECUCIÓN)</t>
  </si>
  <si>
    <t>2.5.3</t>
  </si>
  <si>
    <t>Acero PDR-60    Tanque  de  Agua  Contra incendio</t>
  </si>
  <si>
    <t>kg</t>
  </si>
  <si>
    <t>ESTRUCTURA  EN  CONCRETO</t>
  </si>
  <si>
    <t>EDIFICIO 2 (BLOQUE DE QUIMICA)</t>
  </si>
  <si>
    <t>3.1</t>
  </si>
  <si>
    <t xml:space="preserve">ELEMENTOS  VERTICALES  EN CONCRETO A LA VISTA. CONCRETO FLUIDO PARA ACABADO ARQUITECTÓNICO CON ASENTAMIENTO DE 6" +/-1. (INCLUYE TODAS LAS HERRAMIENTAS, EQUIPOS, MANO DE OBRA, TRANSPORTE INTERNO Y EXTERNO, INSUMOS Y MATERIALES NECESARIOS PARA SU CORRECTA EJECUCIÓN) </t>
  </si>
  <si>
    <t>3.1.1</t>
  </si>
  <si>
    <t>Columnas   Rectangulares  en   Concreto a  la  vista  f'c=4.000 psi  28 Mpa  (PISO 3)</t>
  </si>
  <si>
    <t>Columnas   Rectangulares  en   Concreto a  la  vista  f'c=4.000 psi  28 Mpa  (PISO 4)</t>
  </si>
  <si>
    <t>ELEMENTOS  HORIZONTALES  EN CONCRETO A LA VISTA.
El concreto debe ser fluido para acabado arquitectónico con asentamiento de 6" +/-1.  Todos los elementos  deben ser del mismo tono y color y deben ser aprobados por el arquitecto diseñador e interventoría.   Incluye costo : de gravilla fina; bombeo,  desmoldantes ( tipo Rheofinish 255 cast-off o similar),  curadores y cualquier otro aditivos que se requieran para obtener un concreto arquitectonico a la vista de alto desempeño. El costo de cualquier aditivo que sea empleado en la elaboración de estos concretos deberá ser asumido por el contratista dentro de cada una de las actividades.    Incluye costo  de Formaleta en Tablero de Liston Machimbrado, con las dimensiones, acabado y diseño especificado en planos,  y  Equipo para soporte de encofrados.  Incluye  costo del equipo pesado y liviano necesario para la colocacion y manejo del concreto 
(INCLUYE TODAS LAS HERRAMIENTAS, EQUIPOS, MANO DE OBRA, TRANSPORTE INTERNO - EXTERNO, INSUMOS Y MATERIALES NECESARIOS PARA SU CORRECTA EJECUCIÓN)</t>
  </si>
  <si>
    <t>3.2.1</t>
  </si>
  <si>
    <t>Vigas   Estructurales  Aereas  o   Descolgadas,  en   Concreto  a  la  vista     f'c=3.000  psi   21  Mpa. (Nivel 3)</t>
  </si>
  <si>
    <t>Vigas   Estructurales  Aereas  o   Descolgadas,  en   Concreto  a  la  vista     f'c=3.000  psi   21  Mpa. (Nivel 4)</t>
  </si>
  <si>
    <t>Vigas   Estructurales  Aereas  o   Descolgadas,  en   Concreto  a  la  vista     f'c=3.000  psi   21  Mpa. (cubierta)</t>
  </si>
  <si>
    <t>3.3</t>
  </si>
  <si>
    <t>PLACAS  EN   CONCRETO   AEREAS A LA VISTA. CONCRETO FLUIDO PARA ACABADO ARQUITECTÓNICO CON ASENTAMIENTO DE 6" +/-1. (INCLUYE TODAS LAS HERRAMIENTAS, EQUIPOS, MANO DE OBRA, TRANSPORTE INTERNO - EXTERNO, INSUMOS Y MATERIALES NECESARIOS PARA SU CORRECTA EJECUCIÓN)</t>
  </si>
  <si>
    <t>3.3.1</t>
  </si>
  <si>
    <t>Placa maciza de entrepiso E = 18 cm, en  concreto a la vista   f' c=3.000  psi   21  Mpa. ( Nivel 3)</t>
  </si>
  <si>
    <t>Placa maciza de entrepiso E = 18 cm, en  concreto a la vista   f' c=3.000  psi   21  Mpa. ( Nivel 4)</t>
  </si>
  <si>
    <t>Placa maciza de entrepiso E = 18 cm, en  concreto a la vista   f' c=3.000  psi   21  Mpa. ( Cubierta)</t>
  </si>
  <si>
    <t>ACERO DE  REFUERZO  ESTRUCTURA   Acero de refuerzo PDR-60 f'y=4.200 kg/cm2 (420Mpa)  (INCLUYE TODAS LAS HERRAMIENTAS, EQUIPOS, MANO DE OBRA, TRANSPORTE INTERNO - EXTERNO, INSUMOS Y MATERIALES NECESARIOS PARA SU CORRECTA EJECUCIÓN)</t>
  </si>
  <si>
    <t>3.4.1</t>
  </si>
  <si>
    <t>Acero PDR-60   Columnas (Piso 3)</t>
  </si>
  <si>
    <t>Acero PDR-60   Columnas (Piso 4)</t>
  </si>
  <si>
    <t>3.4.2</t>
  </si>
  <si>
    <t>Acero PDR-60   Viga  Aereas (Nivel 3)</t>
  </si>
  <si>
    <t>Acero PDR-60   Viga  Aereas (Nivel 4)</t>
  </si>
  <si>
    <t>Acero PDR-60   Viga  Aereas (Cubierta)</t>
  </si>
  <si>
    <t>3.4.3</t>
  </si>
  <si>
    <t>Acero PDR-60   Placa Maciza (Nivel 3)</t>
  </si>
  <si>
    <t>Acero PDR-60   Placa Maciza (Nivel 4)</t>
  </si>
  <si>
    <t>Acero PDR-60   Placa Maciza (Cubierta)</t>
  </si>
  <si>
    <t xml:space="preserve">  EDIFICIO 3 (BLOQUE DE FISICA)</t>
  </si>
  <si>
    <t xml:space="preserve">ELEMENTOS  VERTICALES  EN CONCRETO A LA VISTA. CONCRETO FLUIDO PARA ACABADO ARQUITECTÓNICO CON ASENTAMIENTO DE 6" +/-1. (INCLUYE TODAS LAS HERRAMIENTAS, EQUIPOS, MANO DE OBRA, TRANSPORTE INTERNO - EXTERNO, INSUMOS Y MATERIALES NECESARIOS PARA SU CORRECTA EJECUCIÓN) </t>
  </si>
  <si>
    <t>Columnas   Rectangulares  en   Concreto a  la  vista  f'c=4.000 psi  28 Mpa (PISO 3)</t>
  </si>
  <si>
    <t>PLACAS  EN   CONCRETO   AEREAS A LA VISTA. CONCRETO FLUIDO PARA ACABADO ARQUITECTÓNICO CON ASENTAMIENTO DE 6" +/-1.  (INCLUYE TODAS LAS HERRAMIENTAS, EQUIPOS, MANO DE OBRA, TRANSPORTE INTERNO - EXTERNO, INSUMOS Y MATERIALES NECESARIOS PARA SU CORRECTA EJECUCIÓN)</t>
  </si>
  <si>
    <t>3.4.4</t>
  </si>
  <si>
    <t>Acero PDR-60   Escalera</t>
  </si>
  <si>
    <t>ELEMENTOS  VARIOS  EN   CONCRETO A LA VISTA. CONCRETO FLUIDO PARA ACABADO ARQUITECTÓNICO CON ASENTAMIENTO DE 6" +/-1. (INCLUYE TODAS LAS HERRAMIENTAS, EQUIPOS, MANO DE OBRA, TRANSPORTE INTERNO - EXTERNO, INSUMOS Y MATERIALES NECESARIOS PARA SU CORRECTA EJECUCIÓN)</t>
  </si>
  <si>
    <t>3.5.3</t>
  </si>
  <si>
    <t>Escalera  No. 3   de Acceso   Aerea de laboratorios   en  concreto  a la vista  f'c=3.500 psi   (Piso 2, 3, 4 y cubierta)</t>
  </si>
  <si>
    <t>ESTRUCTURA  METALICA  ELEMENTOS DE FACHADA FLOTANTE (INCLUYE TODAS LAS HERRAMIENTAS, EQUIPOS, MANO DE OBRA, TRANSPORTE INTERNO - EXTERNO, INSUMOS Y MATERIALES NECESARIOS PARA SU CORRECTA EJECUCIÓN)</t>
  </si>
  <si>
    <t>ESTRUCTURA  METALICA   PARA FACHADAS FOTANTES 
(INCLUYE TODAS LAS HERRAMIENTAS, EQUIPOS, MANO DE OBRA, TRANSPORTE INTERNO - EXTERNO, INSUMOS Y MATERIALES NECESARIOS PARA SU CORRECTA EJECUCIÓN)</t>
  </si>
  <si>
    <t>4.1.1</t>
  </si>
  <si>
    <t xml:space="preserve">Suministro, Fabricación, Montaje de estructura metalica para fachada flotante bloque laboratorio de quimica </t>
  </si>
  <si>
    <t>Suministro, Fabricación, Montaje de estructura metalica para fachada flotante bloque laboratorio de fisica</t>
  </si>
  <si>
    <t>Suministro, Fabricación, Montaje de estructura metalica para fachada flotante bloque laboratorio de biologia</t>
  </si>
  <si>
    <t>CONCRETO  ARQUITECTONICO</t>
  </si>
  <si>
    <t>BLOQUE DE ALMACEN</t>
  </si>
  <si>
    <t>ELEMENTOS   EN  CONCRETO A LA VISTA. CONCRETO FLUIDO PARA ACABADO ARQUITECTÓNICO CON ASENTAMIENTO DE 6" +/-1.  (INCLUYE TODAS LAS HERRAMIENTAS, EQUIPOS, MANO DE OBRA, TRANSPORTE INTERNO - EXTERNO, INSUMOS Y MATERIALES NECESARIOS PARA SU CORRECTA EJECUCIÓN)</t>
  </si>
  <si>
    <t>5.1.1</t>
  </si>
  <si>
    <t>Cortasol  Ventana espesor   e=7 Cm, ancho   a= 52 cm      en  concreto  reforzado   arquitectónico  color  gris  claro  a la vista   f' c=3.000 psi  21 Mpa ( Piso 2)</t>
  </si>
  <si>
    <t>Cortasol  Ventana espesor   e=7 Cm, ancho   a= 52 cm      en  concreto  reforzado   arquitectónico  color  gris  claro  a la vista   f' c=3.000 psi  21 Mpa ( Piso 3)</t>
  </si>
  <si>
    <t>5.1.2</t>
  </si>
  <si>
    <t>Alfajia   de  sección   5 x 20 cm   en   Concreto   Reforzado  Arquitectonico   Color  Gris  Claro  a  la  vista     f'c=3.000  psi (Cubierta)</t>
  </si>
  <si>
    <t>BLOQUE DE BIOLOGIA</t>
  </si>
  <si>
    <t>ELEMENTOS   EN  CONCRETO A LA VISTA. CONCRETO FLUIDO PARA ACABADO ARQUITECTÓNICO CON ASENTAMIENTO DE 6" +/-1. (INCLUYE TODAS LAS HERRAMIENTAS, EQUIPOS, MANO DE OBRA, TRANSPORTE INTERNO - EXTERNO, INSUMOS Y MATERIALES NECESARIOS PARA SU CORRECTA EJECUCIÓN)</t>
  </si>
  <si>
    <t>Cortasol  Ventana espesor   e=7 Cm, ancho   a= 52 cm      en  concreto  reforzado   arquitectónico  color  gris  claro  a la vista   f' c=3.000 psi  21 Mpa ( Piso 4)</t>
  </si>
  <si>
    <t>5.1.3</t>
  </si>
  <si>
    <t xml:space="preserve">Meson en concreto de 3000 Psi e= 0.07 con acabado en granito pulido color según diseño- zona de baños. Piso 1 </t>
  </si>
  <si>
    <t>BLOQUE DE QUIMICA</t>
  </si>
  <si>
    <t>Cortasol  Ventana espesor   e=7 Cm, ancho   a= 52 cm      en  concreto  reforzado   arquitectónico  color  gris  claro  a la vista   f' c=3.000 psi  21 Mpa ( Piso 1)</t>
  </si>
  <si>
    <t>BLOQUE DE FISICA</t>
  </si>
  <si>
    <t>INSTALACIONES  HIDROSANITARIAS,  CONTRA INCENDIO  y  GAS</t>
  </si>
  <si>
    <t>INSTALACION HIDRAULICAS</t>
  </si>
  <si>
    <t>6.1.1</t>
  </si>
  <si>
    <t>6.1.1.3</t>
  </si>
  <si>
    <t>Domiciliaria en PF+UAD 2"x1/2"</t>
  </si>
  <si>
    <t>6.1.1.4</t>
  </si>
  <si>
    <t>Medidor agua velocidad 1/2" chorro unico (incluye caja con tapa hf)</t>
  </si>
  <si>
    <t>6.1.2</t>
  </si>
  <si>
    <t>SUMINISTRO E INSTALACIÓN DE REDES DE DISTRIBUCIÓN Y ACCESORIOS</t>
  </si>
  <si>
    <t>6.1.2.1</t>
  </si>
  <si>
    <t>Tuberia pvc 3/4" rde 21 - 200 psi</t>
  </si>
  <si>
    <t>6.1.2.2</t>
  </si>
  <si>
    <t>Tuberia pvc 1" rde 21 - 200 psi</t>
  </si>
  <si>
    <t>6.1.2.3</t>
  </si>
  <si>
    <t>Tuberia pvc 1 1/2" rde 21 - 200 psi</t>
  </si>
  <si>
    <t>6.1.2.4</t>
  </si>
  <si>
    <t>Tuberia pvc 2" rde 21-200 psi</t>
  </si>
  <si>
    <t>6.1.2.5</t>
  </si>
  <si>
    <t>Tuberia 2" acero sch 40</t>
  </si>
  <si>
    <t>6.1.2.6</t>
  </si>
  <si>
    <t>Tuberia 2 1/2 " acero sch 40</t>
  </si>
  <si>
    <t>6.1.2.7</t>
  </si>
  <si>
    <t>Punto agua fria 3/4"</t>
  </si>
  <si>
    <t>6.1.2.8</t>
  </si>
  <si>
    <t>Punto agua fria 1 1/2"</t>
  </si>
  <si>
    <t>6.1.2.10</t>
  </si>
  <si>
    <t>Suminsitro e instalación de accesorios en la red piso 2</t>
  </si>
  <si>
    <t>6.1.2.11</t>
  </si>
  <si>
    <t>Suminsitro e instalación de accesorios en la red piso 3</t>
  </si>
  <si>
    <t>6.1.2.12</t>
  </si>
  <si>
    <t>Suminsitro e instalación de accesorios en la red piso 4</t>
  </si>
  <si>
    <t>6.1.2.13</t>
  </si>
  <si>
    <t>Valvula flotador 2"</t>
  </si>
  <si>
    <t>6.1.3</t>
  </si>
  <si>
    <t>SUMINISTRO E INSTALACIÓN DE SISTEMA HIDRONEUMATICO</t>
  </si>
  <si>
    <t>6.1.3.1</t>
  </si>
  <si>
    <t>Suministro e instalación de equipo hidroneumatico de agua potable q= 2.60 l/s rango de operación= 40 - 55 psi volumen hidroneumatico= 460 lt</t>
  </si>
  <si>
    <t>6.1.3.2</t>
  </si>
  <si>
    <t>Valvula de retención de 2"</t>
  </si>
  <si>
    <t>INSTALACIONES SANITARIAS Y AGUAS LLUVIAS</t>
  </si>
  <si>
    <t>6.2.2</t>
  </si>
  <si>
    <t>SUMINISTRO E INSTALACIÓN DE TUBERIAS SANITARIAS Y ACCESORIOS</t>
  </si>
  <si>
    <t>6.2.2.1</t>
  </si>
  <si>
    <t xml:space="preserve">Tuberia pvc 2" sanitaria </t>
  </si>
  <si>
    <t>6.2.2.2</t>
  </si>
  <si>
    <t>Tuberia pvc 3" sanitaria</t>
  </si>
  <si>
    <t>6.2.2.3</t>
  </si>
  <si>
    <t>Tuberia pvc 4" sanitaria</t>
  </si>
  <si>
    <t>6.2.2.5</t>
  </si>
  <si>
    <t>Tuberia pvc 2" ventilación</t>
  </si>
  <si>
    <t>6.2.2.6</t>
  </si>
  <si>
    <t>Punto sanitario pvc 2"</t>
  </si>
  <si>
    <t>6.2.2.7</t>
  </si>
  <si>
    <t>Punto sanitario pvc 4"</t>
  </si>
  <si>
    <t>6.2.2.9</t>
  </si>
  <si>
    <t>Suministro e instalación de accesorios sanitarios piso 2</t>
  </si>
  <si>
    <t>6.2.2.10</t>
  </si>
  <si>
    <t>Suministro e instalación de accesorios sanitarios piso 3</t>
  </si>
  <si>
    <t>6.2.2.11</t>
  </si>
  <si>
    <t>Suministro e instalación de accesorios sanitarios piso 4</t>
  </si>
  <si>
    <t>6.2.4</t>
  </si>
  <si>
    <t>SUMINISTRO E INSTALACION TUBERIAS DE AGUAS LLUVIAS</t>
  </si>
  <si>
    <t>6.2.4.7</t>
  </si>
  <si>
    <t>Tuberia pvc 4" aguas lluvias</t>
  </si>
  <si>
    <t>6.2.5</t>
  </si>
  <si>
    <t>6.2.5.1</t>
  </si>
  <si>
    <t>Suministro e instalación de equipo hidroneumatico aprovechamiento de aguas lluvias q= 2.00 l/s rango de operación= 45 - 60 psi volumen hidroneumatico= 400 lt</t>
  </si>
  <si>
    <t>6.2.5.2</t>
  </si>
  <si>
    <t>Valvula de retención de 2 1/2"</t>
  </si>
  <si>
    <t>RED CONTRA INCENDIO INCENDIO. (INCLUYE TODAS LAS HERRAMIENTAS, EQUIPOS, MANO DE OBRA, TRANSPORTE INTERNO Y EXTERNO, INSUMOS Y MATERIALES NECESARIOS PARA SU CORRECTA EJECUCIÓN)</t>
  </si>
  <si>
    <t>6.3.1</t>
  </si>
  <si>
    <t>TUBERÍAS</t>
  </si>
  <si>
    <t>6.3.1.1</t>
  </si>
  <si>
    <t>PVC.P AWWA C900 DR14, Diam 4"</t>
  </si>
  <si>
    <t>6.3.1.3</t>
  </si>
  <si>
    <t>Niple Acero Carbono SCH 40, ASTM A-53 extremo ranurado  L=0.50m, Diam 2-1/2"</t>
  </si>
  <si>
    <t>6.3.1.4</t>
  </si>
  <si>
    <t>Niple Acero Carbono SCH 40, ASTM A-53 extremo ranurado L=1.00 a 1.50, Diam 1-1/2"</t>
  </si>
  <si>
    <t>6.3.2</t>
  </si>
  <si>
    <t>ACCESORIOS</t>
  </si>
  <si>
    <t>6.3.2.1</t>
  </si>
  <si>
    <t>Codo 90° HD JM X JM  UL/FM, Diam 4"</t>
  </si>
  <si>
    <t>6.3.2.2</t>
  </si>
  <si>
    <t>Codo 90° ASTM A-536, Hierro dúctil, ranurado, UL/FM, Diam 4"</t>
  </si>
  <si>
    <t>6.3.2.3</t>
  </si>
  <si>
    <t>Codo 90° ASTM A-536, Hierro dúctil, ranurado, UL/FM, Diam 1-1/2"</t>
  </si>
  <si>
    <t>6.3.2.4</t>
  </si>
  <si>
    <t>Tee mecánica ASTM A-536, Hierro dúctil, ranurado, UL/FM, Diam 4" x 2-1/2"</t>
  </si>
  <si>
    <t>6.3.2.5</t>
  </si>
  <si>
    <t>Tee mecánica ASTM A-536, Hierro dúctil, ranurado, UL/FM  Diam 4" x 1-1/2"</t>
  </si>
  <si>
    <t>6.3.2.6</t>
  </si>
  <si>
    <t xml:space="preserve">Tapon ASTM A-536, Hierro dúctil, ranurado, UL/FM,  Diam 4" </t>
  </si>
  <si>
    <t>6.3.2.7</t>
  </si>
  <si>
    <t xml:space="preserve">Acople Rigido RAN UL/FM  MECH, Diam 4" </t>
  </si>
  <si>
    <t>6.3.2.8</t>
  </si>
  <si>
    <t xml:space="preserve">Acople Rigido RAN UL/FM  MECH, Diam 2-1/2" </t>
  </si>
  <si>
    <t>6.3.2.9</t>
  </si>
  <si>
    <t>Acople Rigido RAN UL/FM  MECH, Diam 1-1/2"</t>
  </si>
  <si>
    <t>6.3.2.10</t>
  </si>
  <si>
    <t xml:space="preserve">TEE HD JM X JM  UL/FM, Diam 4" </t>
  </si>
  <si>
    <t>6.3.3</t>
  </si>
  <si>
    <t>UNIONES</t>
  </si>
  <si>
    <t>6.3.3.1</t>
  </si>
  <si>
    <t xml:space="preserve">Union adapt. Ac hd jm x brida  422181, , diam 4" </t>
  </si>
  <si>
    <t>6.3.3.2</t>
  </si>
  <si>
    <t xml:space="preserve">Flanche ran ul/fm  mech, , diam 4" </t>
  </si>
  <si>
    <t>6.3.3.3</t>
  </si>
  <si>
    <t xml:space="preserve">Restrictor (bell restrainer) series 300c hd , , diam 4" </t>
  </si>
  <si>
    <t>6.3.3.4</t>
  </si>
  <si>
    <t>Restrictores- tuf grip (hexagonal) hd 6" (con kit completo)</t>
  </si>
  <si>
    <t>6.3.3.5</t>
  </si>
  <si>
    <t>Unión rígida ASTM A-536, Hierro dúctil, ranurado, UL/FM, Diam 4"</t>
  </si>
  <si>
    <t>6.3.3.6</t>
  </si>
  <si>
    <t>Empaque flexitálico, Clase 150, espesor 1/16", Diam 4"</t>
  </si>
  <si>
    <t>6.3.3.7</t>
  </si>
  <si>
    <t>Esparragos Long. 130 mm, ASTM 193 GR B7, ASTM A-194 GR 2H tuerca hexagonal, Diam 3/4"</t>
  </si>
  <si>
    <t>6.3.4</t>
  </si>
  <si>
    <t>SOPORTES</t>
  </si>
  <si>
    <t>6.3.4.1</t>
  </si>
  <si>
    <t>Soporte tipo colgante empotrado en concreto, Diam 4"</t>
  </si>
  <si>
    <t>6.3.4.2</t>
  </si>
  <si>
    <t>Soporte tipo mordaza, Diam 2-1/2"</t>
  </si>
  <si>
    <t>6.3.4.3</t>
  </si>
  <si>
    <t>Soporte tipo mordaza, Diam 1-1/2"</t>
  </si>
  <si>
    <t>6.3.4.4</t>
  </si>
  <si>
    <t>Soporte sísmico longitudinal sujetado a estructura (SB-3), Diam 4"</t>
  </si>
  <si>
    <t>6.3.4.5</t>
  </si>
  <si>
    <t>Soporte sísmico lateral sujetado a estructura (SB-4), Diam 4"</t>
  </si>
  <si>
    <t>6.3.5</t>
  </si>
  <si>
    <t>VÁLVULAS</t>
  </si>
  <si>
    <t>6.3.5.1</t>
  </si>
  <si>
    <t>Válvula automática desaireadora, Diam 1/2"</t>
  </si>
  <si>
    <t>6.3.5.2</t>
  </si>
  <si>
    <t>Valvula  Siamesa en bifurcacion Rosc BR  - Incluye cheque RAN, Diam 4" x 2-1/2" x 2-1/2"</t>
  </si>
  <si>
    <t>6.3.5.3</t>
  </si>
  <si>
    <t>Valvula reductora de presión , Diam 4"</t>
  </si>
  <si>
    <t>6.3.5.4</t>
  </si>
  <si>
    <t>Valvula reguladora de presión, Diam 2-1/2"</t>
  </si>
  <si>
    <t>6.3.6</t>
  </si>
  <si>
    <t>GABINETES</t>
  </si>
  <si>
    <t>6.3.6.1</t>
  </si>
  <si>
    <t>Gabinete tipo III esmalte-anticorr-laca  (Inlcuye Canastilla y Dotacion Reglamentaria)</t>
  </si>
  <si>
    <t>6.3.7</t>
  </si>
  <si>
    <t>PINTURA TUBERÍAS (Una mano anticoorrosivo, Una capa Esmalte)</t>
  </si>
  <si>
    <t>6.3.7.1</t>
  </si>
  <si>
    <t>Pintura para tuberia (para Acero Carbono SCH 10, ASTM A-53 extremo ranurado, Diam 4", Niple Acero Carbono SCH 40, ASTM A-53 extremo ranurado  L=0.50m, Diam 2-1/2", Niple Acero Carbono SCH 40, ASTM A-53 extremo ranurado L=1.00 a 1.50, Diam 1-1/2")</t>
  </si>
  <si>
    <t>6.3.8</t>
  </si>
  <si>
    <t>EQUIPO ESTACION DE BOMBEO UL/FM</t>
  </si>
  <si>
    <t>6.3.8.1</t>
  </si>
  <si>
    <t>Equipo de bombeo diesel. certificado ul fm para 500  gpm a 140 psi, completo incluye :tableros electricos , equipo jockey y accesorios de norma nfpa 20.</t>
  </si>
  <si>
    <t>6.3.8.2</t>
  </si>
  <si>
    <t>tubería en acero carbón astm a-795 ranurado 4" sch 10</t>
  </si>
  <si>
    <t>6.3.8.3</t>
  </si>
  <si>
    <t>Válvula mariposa 4" x 200 psi</t>
  </si>
  <si>
    <t>6.3.8.4</t>
  </si>
  <si>
    <t>hierro dúctil. tipo de cuerpo: lug. con confirmador de posición.  ul-fm</t>
  </si>
  <si>
    <t>6.3.8.5</t>
  </si>
  <si>
    <t>Accesorios varios ul fm hierro ductil ranurados de 4"</t>
  </si>
  <si>
    <t>6.3.8.6</t>
  </si>
  <si>
    <t>Válvula cheque ranurada 4" x 250 psi</t>
  </si>
  <si>
    <t>6.3.8.7</t>
  </si>
  <si>
    <t>twin disc check valve, body disc brz seat buna, max °f 150, cwo 250 psi;  con  trim doble ul-fm</t>
  </si>
  <si>
    <t>6.3.8.8</t>
  </si>
  <si>
    <t>Válvula tipo os&amp;y 4" x 200 psi bridada.</t>
  </si>
  <si>
    <t>6.3.8.9</t>
  </si>
  <si>
    <t>6.3.8.10</t>
  </si>
  <si>
    <t xml:space="preserve">Soporte tipo mensula  fabricado en sitio 4", con angulo metalico astm a 36 de 2" x 2" x 3/16" </t>
  </si>
  <si>
    <t>RED  DE  GAS. (INCLUYE TODAS LAS HERRAMIENTAS, EQUIPOS, MANO DE OBRA, TRANSPORTE INTERNO - EXTERNO, INSUMOS Y MATERIALES NECESARIOS PARA SU CORRECTA EJECUCIÓN)</t>
  </si>
  <si>
    <t>6.4.1</t>
  </si>
  <si>
    <t xml:space="preserve">Tubería. </t>
  </si>
  <si>
    <t>6.4.1.1</t>
  </si>
  <si>
    <t>Tubo sin soldadura de Acero inox. 316/316L, 1/4 pulg. OD x 0.049 pulg. de pared.</t>
  </si>
  <si>
    <t>6.4.1.2</t>
  </si>
  <si>
    <t>Cobre tipo L tubos x 6 mts de 3/4"</t>
  </si>
  <si>
    <t>6.4.1.3</t>
  </si>
  <si>
    <t>Cobre tipo L tubos x 6 mts de 1/2"</t>
  </si>
  <si>
    <t>6.4.2</t>
  </si>
  <si>
    <t xml:space="preserve">Accesorios. </t>
  </si>
  <si>
    <t>6.4.2.1</t>
  </si>
  <si>
    <t>Unión VCO de acero inoxidable 316, 1/4 pulg. VCO</t>
  </si>
  <si>
    <t>6.4.2.2</t>
  </si>
  <si>
    <t xml:space="preserve">Adaptador a tubo VCO de acero inoxidable 316, 1/4 pulg. VCO x 1/4 pulg. </t>
  </si>
  <si>
    <t>6.4.2.3</t>
  </si>
  <si>
    <t>Codo VCO de acero inoxidable 316, 1/4 pulg. VCO</t>
  </si>
  <si>
    <t>6.4.2.4</t>
  </si>
  <si>
    <t>Unión te VCO de acero inoxidable 316, 1/4 pulg. VCO</t>
  </si>
  <si>
    <t>6.4.2.5</t>
  </si>
  <si>
    <t>Codo 90° cobre  3/4"</t>
  </si>
  <si>
    <t>6.4.2.6</t>
  </si>
  <si>
    <t>Codo 90° cobre  1/2"</t>
  </si>
  <si>
    <t>6.4.2.7</t>
  </si>
  <si>
    <t>Tee cobre 3/4"</t>
  </si>
  <si>
    <t>6.4.2.8</t>
  </si>
  <si>
    <t>Tee cobre 1/2"</t>
  </si>
  <si>
    <t>6.4.2.9</t>
  </si>
  <si>
    <t xml:space="preserve">Registro 3/4 - 1/2 para gas </t>
  </si>
  <si>
    <t>6.4.2.10</t>
  </si>
  <si>
    <t xml:space="preserve">Reduccion 3/4" a 1/2" cobre </t>
  </si>
  <si>
    <t>6.4.2.11</t>
  </si>
  <si>
    <t xml:space="preserve">Adaptador macho  1/2" cobre </t>
  </si>
  <si>
    <t>6.4.3</t>
  </si>
  <si>
    <t>Soportería</t>
  </si>
  <si>
    <t>6.4.3.1</t>
  </si>
  <si>
    <t>Soportes para tubo mediante Bridas con almohadilla 1/4 pulg.</t>
  </si>
  <si>
    <t>6.4.3.2</t>
  </si>
  <si>
    <t>Soportes para tubo mediante Bridas con almohadilla 1/2 pulg.y 3/4</t>
  </si>
  <si>
    <t>6.4.4</t>
  </si>
  <si>
    <t>Estaciones de regulación</t>
  </si>
  <si>
    <t>6.4.4.1</t>
  </si>
  <si>
    <t xml:space="preserve">Estación de regulación para 4 gases </t>
  </si>
  <si>
    <t>6.4.4.2</t>
  </si>
  <si>
    <t xml:space="preserve">Estación de regulación para 2 gases </t>
  </si>
  <si>
    <t>6.4.4.3</t>
  </si>
  <si>
    <t xml:space="preserve">Estación de regulación para 1 gases </t>
  </si>
  <si>
    <t>6.4.5</t>
  </si>
  <si>
    <t xml:space="preserve">Unidada de regulación </t>
  </si>
  <si>
    <t>6.4.5.1</t>
  </si>
  <si>
    <t>Unidad de regulación Manifold 2x1.</t>
  </si>
  <si>
    <t>6.4.6</t>
  </si>
  <si>
    <t>Equipos.</t>
  </si>
  <si>
    <t>6.4.6.1</t>
  </si>
  <si>
    <t>Compesor de aire 5Hp, 220 V trifasico, Presión: 80 - 120 PSI</t>
  </si>
  <si>
    <t>6.4.6.2</t>
  </si>
  <si>
    <t>Bomba de vacío 14.5 m3/h, 1Hp, voltaje: 180 - 240 V</t>
  </si>
  <si>
    <t>6.4.6.3</t>
  </si>
  <si>
    <t>Cilindros de 100 lbs</t>
  </si>
  <si>
    <t>INSTALACIONES  ELECTRICAS, ILUMINACION , SONIDO, TELEVISION VOZ Y DATOS, Y AIRE ACONDICIONADO</t>
  </si>
  <si>
    <t>INSTALACIONES  ELECTRICAS</t>
  </si>
  <si>
    <t>SALIDAS DE ALUMBRADO Y TOMAS
(INCLUYE TODAS LAS HERRAMIENTAS, EQUIPOS, MANO DE OBRA, TRANSPORTE INTERNO - EXTERNO, INSUMOS Y MATERIALES NECESARIOS PARA SU CORRECTA EJECUCIÓN)</t>
  </si>
  <si>
    <t>SALIDAS ILUMINACION</t>
  </si>
  <si>
    <t>7.1.1</t>
  </si>
  <si>
    <t xml:space="preserve">Suministro, transporte e instalación de materiales y accesorios para las salidas de alumbrado incluyendo tubería metalica EMT Ø ½, Cajas metalicas, cajas, interruptor, toma corriente 120V,conductor de cobre  LSHF, No 12 de acuerdo con lo mostrado en los planos, y conductor  de cobre desnudo No 12 para puesta a tierra conectores tipo resorte  y demás accesorios.   </t>
  </si>
  <si>
    <t>7.1.2</t>
  </si>
  <si>
    <t xml:space="preserve">Suministro, transporte e instalación de materiales y accesorios para las salidas de alumbrado incluyendo tubería metalica EMT Ø ½, conduletas, cajas, interruptor, toma corriente  y clavija monofasica normal con polo a tierra,15 A, 208V, y seguro de giro ,conductor de cobre  LSHF, No 12 de acuerdo con lo mostrado en los planos, y conductor  de cobre desnudo No 12 para puesta a tierra conectores tipo resorte  y demás accesorios.   </t>
  </si>
  <si>
    <t>7.1.3</t>
  </si>
  <si>
    <t xml:space="preserve">Suministro, transporte e instalación de materiales y accesorios para las salidas de alumbrado exterior (LUMINARIAS LED 30W), incluyendo conductor de cobre  3No12 THWN desde caja de inspeccion hasta luminaria en poste,    de acuerdo con lo mostrado en los planos,  juego de empalmes en resina según norma AP-839 de CODENSA  y demás accesorios. </t>
  </si>
  <si>
    <t>SENSORES</t>
  </si>
  <si>
    <t>7.1.4</t>
  </si>
  <si>
    <t>Suministro, transporte e instalación de materiales y accesorios para sensor de ocupacion ubicado en techo,   multitecnologia (infrarrojo-ultrasonico), con power pack 120V 20A,  amplitud de 360º, 1000Wincluyendo tubería EMT de ½, cajas, sensor, conductor de cobre  LSHF, 3No 12 de acuerdo con lomostrado en los planos, y conductor  de cobre desnudo No 12 para puesta a tierra - (En Baños)</t>
  </si>
  <si>
    <t xml:space="preserve">Suministro, transporte e instalación de materiales y accesorios para sensor de ocupacion ubicado enmuro  infrarrojo, con power pack de 120V 20A con amplitud de 180º, 1000W incluyendo tubería PVC de ½, cajas, sensor, conductor de cobre  LSHF, 2No 12 de acuerdo con lo mostrado en los planos, y conductor  de cobre desnudo No 12 para puesta a tierra. </t>
  </si>
  <si>
    <t>SALIDA DE TOMAS</t>
  </si>
  <si>
    <t>7.1.8</t>
  </si>
  <si>
    <t>Suministro, transporte e instalación de materiales y accesorios para salida de tomacorriente monofasica normal,  tipo LEVINTON, incluyendo ducto de PVC, de ½",  cajas, conductor  de cobre 3No12 AWG,LSHF (FASE-NEUTRO), toma corriente doble con polo a desnudo No12 para continuidad, conectores tipo resorte  y demás accesorios.tierra,20 A, 120V(5-20R) conductor de cobre</t>
  </si>
  <si>
    <t>7.1.9</t>
  </si>
  <si>
    <t>Suministro, transporte e instalación de materiales y accesorios para salida de tomacorriente monofasica normal,  tipo LEVINTON,  incluyendo ducto EMT , de ½",  cajas, conduletas,  , conductor  de cobre 3No12 AWG,LSHF (FASE-NEUTRO), toma corriente doble con polo a desnudo No12 para continuidad, conectores tipo resorte  y demás accesorios.tierra,20 A, 120V(5-20R) conductor de cobre (Mantenimiento Aire Acondicionado, en cuarto Manejadoras)</t>
  </si>
  <si>
    <t>7.1.10</t>
  </si>
  <si>
    <t>Suministro, transporte e instalación de materiales y accesorios para salida de tomacorriente monofasica regulada, incluyendo ducto de PVC de ¾", cajas, conductor  de cobre 3No12 AWG, LSHF,  siete hilos, regulada, incluyendo ducto de PVC de ¾", cajas, conductor accesorios. conductor de cobre desnudoNo12 para continuidad, conectores  tipo resoerte y demásde cobre 3No12 AWG, LSHF,  siete hilos,</t>
  </si>
  <si>
    <t>7.1.11</t>
  </si>
  <si>
    <t>Suministro, transporte e instalación de materiales y accesorios para salida de tomacorriente monofasicacon proteccion de falla de puesta a tierra,(GFCI). incluyendo cajas,  ducto de PVC, de ½", conductor decobre  3No12 AWG, LSHF (FASE-NEUTRO),  toma corriente conductor de cobre desnudo No12 para continuidad, conectores tipo resorte  y demás accesorios.doble con polo a tierra, GFCI, 20 A, 120V</t>
  </si>
  <si>
    <t>7.1.12</t>
  </si>
  <si>
    <t>Suministro, transporte e instalación de materiales y accesorios para la salida trifasica,   incluyendo,conductor de cobre  3No10 LSHF y conductor  de continuidad No 10 y ducto  de 3/4", conexion a bornas de Equipo y accesorios - Incluye alimentacion Manejadoras Trifasicas Por Laboratorio</t>
  </si>
  <si>
    <t>7.1.13</t>
  </si>
  <si>
    <t>Suministro, transporte e instalación de materiales y accesorios para la salida bifasica,   incluyendo,conductor de cobre  3No10 LSHF y conductor  de continuidad No 10 y ducto  de EMT 3/4", y toma Seguridad con polo a tierra  30A.conectores  tipo resoerte y demás accesorios  (incluye Conexion a Equipos Extractores en Plano Aire acondicionado)</t>
  </si>
  <si>
    <t>7.1.14</t>
  </si>
  <si>
    <t xml:space="preserve">Suministro, transporte e instalacion   de timer, digital programable,  incluyendo tubería PVC de ½, cajas, conductor LSHF, No 12 de acuerdo con lo mostrado en los planos, y conductor  de cobre desnudo No 12para puesta a tierra. </t>
  </si>
  <si>
    <t>ACOMETIDAS ELECTRICAS
(INCLUYE TODAS LAS HERRAMIENTAS, EQUIPOS, MANO DE OBRA, TRANSPORTE INTERNO - EXTERNO, INSUMOS Y MATERIALES NECESARIOS PARA SU CORRECTA EJECUCIÓN)</t>
  </si>
  <si>
    <t>7.2.1</t>
  </si>
  <si>
    <t>Suministro, transporte e instalación de acometida  en 3No8+1N°8+1No10T AWG, LSHF cobre, en 1" incluyendo conductores, ducto de EMT,conexionado,accesorios y  pruebas desde, SubEstacion hasta TB11</t>
  </si>
  <si>
    <t>7.2.2</t>
  </si>
  <si>
    <t>Suministro, transporte e instalación de acometida  en 3No8+1N°8+1No10T AWG, LSHF cobre, en 1" incluyendo conductores, ducto de EMT,conexionado,accesorios y  pruebas desde, SubEstacion hasta TB12</t>
  </si>
  <si>
    <t>7.2.3</t>
  </si>
  <si>
    <t>Suministro, transporte e instalación de acometida  en 3No8+1N°8+1No8T AWG, LSHF cobre, en 1" incluyendo conductores, ducto de EMT,conexionado,accesorios y  pruebas desde, SubEstacion hasta TB14</t>
  </si>
  <si>
    <t>7.2.4</t>
  </si>
  <si>
    <t>Suministro, transporte e instalación de acometida  en 3No8+1N°8+1No10T AWG, LSHF cobre, en 1" incluyendo conductores, ducto de EMT,conexionado,accesorios y  pruebas desde, SubEstacion hasta TB16</t>
  </si>
  <si>
    <t>7.2.5</t>
  </si>
  <si>
    <t>Suministro, transporte e instalación de acometida  en 3No8+1N°8+1No108T AWG, LSHF cobre, en 1" incluyendo conductores, ducto de EMT,conexionado,accesorios y  pruebas desde, SubEstacion hasta TB17</t>
  </si>
  <si>
    <t>7.2.6</t>
  </si>
  <si>
    <t>Suministro, transporte e instalación de acometida  en 3No8+1N°8+1No10T AWG, LSHF cobre, en 1" incluyendo conductores, ducto de EMT,conexionado,accesorios y  pruebas desde, SubEstacion hasta TB18</t>
  </si>
  <si>
    <t>7.2.7</t>
  </si>
  <si>
    <t>Suministro, transporte e instalación de acometida  en 3No8+1N°8+1No10T AWG, LSHF cobre, en 1" incluyendo conductores, ducto de EMT,conexionado,accesorios y  pruebas desde, SubEstacion hasta TB19</t>
  </si>
  <si>
    <t>7.2.8</t>
  </si>
  <si>
    <t>Suministro, transporte e instalación de acometida  en 3No8+1N°8+1No10T AWG, LSHF cobre, en 1Ø2"incluyendo conductores, ducto de PVC,conexionado,accesorios y  pruebas desde, SubEstacion hasta TAB11</t>
  </si>
  <si>
    <t>7.2.9</t>
  </si>
  <si>
    <t>Suministro, transporte e instalación de acometida  en 3No8+1N°8+1No10T AWG, LSHF cobre, en 1" incluyendo conductores, ducto de EMT,conexionado,accesorios y  pruebas desde, SubEstacion hasta TAB13</t>
  </si>
  <si>
    <t>7.2.10</t>
  </si>
  <si>
    <t>Suministro, transporte e instalación de acometida  en 3No8+1N°8+1No10T AWG, LSHF cobre, en 1" incluyendo conductores, ducto de EMT,conexionado,accesorios y  pruebas desde, SubEstacion hasta TB21</t>
  </si>
  <si>
    <t>7.2.11</t>
  </si>
  <si>
    <t>Suministro, transporte e instalación de acometida  en 3No8+1N°8+1No10T AWG, LSHF cobre, en 1" incluyendo conductores, ducto de EMT,conexionado,accesorios y  pruebas desde, SubEstacion hasta TB22</t>
  </si>
  <si>
    <t>7.2.12</t>
  </si>
  <si>
    <t>Suministro, transporte e instalación de acometida  en 3No8+1N°8+1No10T AWG, LSHF cobre, en 1" incluyendo conductores, ducto de EMT,conexionado,accesorios y  pruebas desde, SubEstacion hasta TB23</t>
  </si>
  <si>
    <t>7.2.13</t>
  </si>
  <si>
    <t>Suministro, transporte e instalación de acometida  en 3No8+1N°8+1No10T AWG, LSHF cobre, en 1" incluyendo conductores, ducto de EMT,conexionado,accesorios y  pruebas desde, SubEstacion hasta TAB24</t>
  </si>
  <si>
    <t>7.2.14</t>
  </si>
  <si>
    <t>Suministro, transporte e instalación de acometida  en 3No8+1N°8+1No10T AWG, LSHF cobre, en 1" incluyendo conductores, ducto de EMT,conexionado,accesorios y  pruebas desde, SubEstacion hasta TB25</t>
  </si>
  <si>
    <t>7.2.15</t>
  </si>
  <si>
    <t>Suministro, transporte e instalación de acometida  en 3No8+1N°8+1No10T AWG, LSHF cobre, en 1" incluyendo conductores, ducto de EMT,conexionado,accesorios y  pruebas desde, SubEstacion hasta TB26</t>
  </si>
  <si>
    <t>7.2.16</t>
  </si>
  <si>
    <t>Suministro, transporte e instalación de acometida  en 3No8+1N°8+1No10T AWG, LSHF cobre, en 1" incluyendo conductores, ducto de EMT,conexionado,accesorios y  pruebas desde, SubEstacion hasta TB27</t>
  </si>
  <si>
    <t>7.2.17</t>
  </si>
  <si>
    <t>Suministro, transporte e instalación de acometida  en 3No8+1N°8+1No10T AWG, LSHF cobre, en 1" incluyendo conductores, ducto de EMT,conexionado,accesorios y  pruebas desde, SubEstacion hasta TB28</t>
  </si>
  <si>
    <t>7.2.18</t>
  </si>
  <si>
    <t>Suministro, transporte e instalación de acometida  en 3No8+1N°8+1No10T AWG, LSHF cobre, en 1" incluyendo conductores, ducto de EMT,conexionado,accesorios y  pruebas desde, SubEstacion hasta TAB21</t>
  </si>
  <si>
    <t>7.2.19</t>
  </si>
  <si>
    <t>Suministro, transporte e instalación de acometida  en 3No8+1N°8+1No10T AWG, LSHF cobre, en 1" incluyendo conductores, ducto de EMT,conexionado,accesorios y  pruebas desde, SubEstacion hasta TB31</t>
  </si>
  <si>
    <t>7.2.20</t>
  </si>
  <si>
    <t>Suministro, transporte e instalación de acometida  en 3No8+1N°8+1No10T AWG, LSHF cobre, en 1" incluyendo conductores, ducto de EMT,conexionado,accesorios y  pruebas desde, SubEstacion hasta TB32</t>
  </si>
  <si>
    <t>7.2.21</t>
  </si>
  <si>
    <t>Suministro, transporte e instalación de acometida  en 3No8+1N°8+1No10T AWG, LSHF cobre, en 1" incluyendo conductores, ducto de EMT,conexionado,accesorios y  pruebas desde, SubEstacion hasta TB33</t>
  </si>
  <si>
    <t>7.2.22</t>
  </si>
  <si>
    <t>Suministro, transporte e instalación de acometida  en 3No8+1N°8+1No10T AWG, LSHF cobre, en 1" incluyendo conductores, ducto de EMT,conexionado,accesorios y  pruebas desde, SubEstacion hasta TB34</t>
  </si>
  <si>
    <t>7.2.23</t>
  </si>
  <si>
    <t>Suministro, transporte e instalación de acometida  en 3No8+1N°8+1No10T AWG, LSHF cobre, en 1" incluyendo conductores, ducto de EMT,conexionado,accesorios y  pruebas desde, SubEstacion hasta TB35</t>
  </si>
  <si>
    <t>7.2.24</t>
  </si>
  <si>
    <t>Suministro, transporte e instalación de acometida  en 3No8+1N°8+1No10T AWG, LSHF cobre, en 1" incluyendo conductores, ducto de EMT,conexionado,accesorios y  pruebas desde, SubEstacion hasta TB36</t>
  </si>
  <si>
    <t>7.2.25</t>
  </si>
  <si>
    <t>Suministro, transporte e instalación de acometida  en 3No8+1N°8+1No10T AWG, LSHF cobre, en 1" incluyendo conductores, ducto de EMT,conexionado,accesorios y  pruebas desde, SubEstacion hasta TB37</t>
  </si>
  <si>
    <t>7.2.26</t>
  </si>
  <si>
    <t>Suministro, transporte e instalación de acometida  en 3No8+1N°8+1No10T AWG, LSHF cobre, en 1" incluyendo conductores, ducto de EMT,conexionado,accesorios y  pruebas desde, SubEstacion hasta TB38</t>
  </si>
  <si>
    <t>7.2.27</t>
  </si>
  <si>
    <t>Suministro, transporte e instalación de acometida  en 3No8+1N°8+1No10T AWG, LSHF cobre, en 1" incluyendo conductores, ducto de EMT,conexionado,accesorios y  pruebas desde, SubEstacion hasta TAB31</t>
  </si>
  <si>
    <t>7.2.28</t>
  </si>
  <si>
    <t>Suministro, transporte e instalación de acometida  en 3No8+1N°8+1No10T AWG, LSHF cobre, en 1" incluyendo conductores, ducto de EMT,conexionado,accesorios y  pruebas desde, SubEstacion hasta TAB32</t>
  </si>
  <si>
    <t>7.2.29</t>
  </si>
  <si>
    <t>Suministro, transporte e instalación de acometida  en 3No8+1N°8+1No10T AWG, LSHF cobre, en 1" incluyendo conductores, ducto de EMT,conexionado,accesorios y  pruebas desde, SubEstacion hasta TAB33</t>
  </si>
  <si>
    <t>7.2.30</t>
  </si>
  <si>
    <t>Suministro, transporte e instalación de acometida  en 3No8+1N°8+1No10T AWG, LSHF cobre, en 1" incluyendo conductores, ducto de EMT,conexionado,accesorios y  pruebas desde, SubEstacion hasta TAB34</t>
  </si>
  <si>
    <t>7.2.31</t>
  </si>
  <si>
    <t>Suministro, transporte e instalación de acometida  en 3No8+1N°8+1No10T AWG, LSHF cobre, en 1" incluyendo conductores, ducto de EMT,conexionado,accesorios y  pruebas desde, SubEstacion hasta TR1</t>
  </si>
  <si>
    <t>7.2.32</t>
  </si>
  <si>
    <t>7.2.33</t>
  </si>
  <si>
    <t>Suministro, transporte e instalación de acometida  en 3No8+1N°8+1No10T AWG, LSHF cobre, en 1" incluyendo conductores, ducto de EMT,conexionado,accesorios y  pruebas desde, SubEstacion hasta TR2</t>
  </si>
  <si>
    <t>7.2.34</t>
  </si>
  <si>
    <t>Suministro, transporte e instalación de acometida  en 3No8+1N°8+1No10T AWG, LSHF cobre, en 1" incluyendo conductores, ducto de EMT,conexionado,accesorios y  pruebas desde, SubEstacion hasta TZC1</t>
  </si>
  <si>
    <t>7.2.35</t>
  </si>
  <si>
    <t>Suministro, transporte e instalación de acometida  en 3No8+1N°8+1No10T AWG, LSHF cobre, en 1" incluyendo conductores, ducto de EMT,conexionado,accesorios y  pruebas desde, SubEstacion hasta TZC2</t>
  </si>
  <si>
    <t>7.2.36</t>
  </si>
  <si>
    <t>Suministro, transporte e instalación de acometida  en 3No8+1N°8+1No10T AWG, LSHF cobre, en 1" incluyendo conductores, ducto de EMT,conexionado,accesorios y  pruebas desde, SubEstacion hasta TZC3</t>
  </si>
  <si>
    <t>7.2.37</t>
  </si>
  <si>
    <t>Suministro, transporte e instalación de acometida  en 2No8+1N°8+1No10T AWG, LSHF cobre, en 1" incluyendo conductores, ducto de PVC,conexionado,accesorios y  pruebas desde, (MS1-MS2-MS3-MS4-MS5-MS6) Por dos salones de Electricidad.</t>
  </si>
  <si>
    <t>7.2.38</t>
  </si>
  <si>
    <t>Suministro, transporte e instalación de acometida  en 3No8+1N°8+1No10T AWG, LSHF cobre, en 1" incluyendo conductores, ducto de EMT,conexionado,accesorios y  pruebas desde, SubEstacion hasta Montacarga</t>
  </si>
  <si>
    <t>7.2.39</t>
  </si>
  <si>
    <t>Suministro, transporte e instalación de acometida  en 3No6+1No6+1No8T AWG, LSHF  cobre, en 1Ø1-1/4",incluyendo conductores, ducto de EMT,conexionado,accesorios y pruebas desde,  SubEstacion hasta TAB22</t>
  </si>
  <si>
    <t>7.2.40</t>
  </si>
  <si>
    <t>Suministro, transporte e instalación de acometida  en 3No6+1No6+1No8T AWG, LSHF  cobre, en 1Ø1-1/4",incluyendo conductores, ducto de EMT,conexionado,accesorios y pruebas desde,  SubEstacion hasta TAB23</t>
  </si>
  <si>
    <t>7.2.41</t>
  </si>
  <si>
    <t>Suministro, transporte e instalación de acometida  en 3No6+1No6+1No8T AWG, LSHF  cobre, en 1Ø1-1/4",incluyendo conductores, ducto de EMT,conexionado,accesorios y pruebas desde,  SubEstacion hasta TAB12</t>
  </si>
  <si>
    <t>7.2.42</t>
  </si>
  <si>
    <t>Suministro, transporte e instalación de acometida  en 3No6+1No6+1No8T AWG, LSHF  cobre, en 1Ø1-1/4",incluyendo conductores, ducto de EMT,conexionado,accesorios y pruebas desde,  SubEstacion hasta TAB14</t>
  </si>
  <si>
    <t>7.2.44</t>
  </si>
  <si>
    <t>Suministro, transporte e instalación de acometida  en 3No4+1No4+1No8T AWG, LSHF  cobre, en 1Ø1-1/2",incluyendo conductores, ducto de EMT,conexionado,accesorios y pruebas desde,  SubEstacion hasta TAB13</t>
  </si>
  <si>
    <t>7.2.45</t>
  </si>
  <si>
    <t>Suministro, transporte e instalación de acometida  en 3No4+1No4+1No8T AWG, LSHF  cobre, en 1Ø1-1/4",incluyendo conductores, ducto de EMT,conexionado,accesorios y pruebas desde,  SubEstacion hasta TAB15</t>
  </si>
  <si>
    <t>7.2.46</t>
  </si>
  <si>
    <t>Suministro, transporte e instalación de acometida  en 2No8+1No10T AWG, THWN cobre, No Incluye Tuberia incluyendo conductores,conexionado,accesorios y  pruebas. (Alumbrado Exterior)</t>
  </si>
  <si>
    <t>7.2.47</t>
  </si>
  <si>
    <t>Suministro, transporte e instalación de acometida  en 3No3/0+1No6T AWG, LSHF  cobre, en 1Ø2",incluyendo conductores, ducto de EMT,conexionado,accesorios y pruebas desde,  Subestacion hasta Chiller N°1</t>
  </si>
  <si>
    <t>7.2.48</t>
  </si>
  <si>
    <t>Suministro, transporte e instalación de acometida  en 3No4/0+1No4T AWG, LSHF  cobre, en 1Ø3",incluyendo conductores, ducto de EMT,conexionado,accesorios y pruebas desde,  Subestacion hasta Chiller N°1</t>
  </si>
  <si>
    <t>7.2.49</t>
  </si>
  <si>
    <t>Suministro, transporte e instalación de acometida  en 3No250+1No4T AWG, LSHF  cobre, en 1Ø3",incluyendo conductores, ducto de EMT,conexionado,accesorios y pruebas desde,  Subestacion hasta Chiller N°3</t>
  </si>
  <si>
    <t>7.2.50</t>
  </si>
  <si>
    <t>Suministro, transporte e instalación de acometida  en (3No500+1No500)*5 Puntas + 1No3/0 T AWG, LSHF  cobre, en 1Ø2",incluyendo conductores, Por Carcamo, Incluye bandeja Portacable en Fondo para arreglo de conductores.,conexionado,accesorios y pruebas desde, Acometida Desde Transformador Hasta Gabinete de Transferencia.</t>
  </si>
  <si>
    <t>7.2.51</t>
  </si>
  <si>
    <t>Suministro, transporte e instalación de acometida  en (3No500+1No500)*5 Puntas + 1No3/0 T AWG, LSHF  cobre, en 1Ø2",incluyendo conductores, Por Carcamo ,conexionado,accesorios y pruebas desde, Acometida Desde Planta de Emergencia Hasta Transferencia</t>
  </si>
  <si>
    <t>7.2.52</t>
  </si>
  <si>
    <t>Suministro, transporte e instalación de acometida  en (3No500+1No500)*2 Puntas + 1No3/0 T AWG, THHN  cobre, en 1Ø2",incluyendo conductores, Por Carcamo ,conexionado,accesorios y pruebas desde, Acometida Desde Interconexion Tablero de Banco de Condensadores</t>
  </si>
  <si>
    <t>7.2.53</t>
  </si>
  <si>
    <t>Suministro, transporte e instalación de acometida  en 3No8+1N°8+1No10T AWG, LSHF cobre, en 1" incluyendo conductores, ducto de EMT,conexionado,accesorios y  pruebas desde, SubEstacion Bomba de Vacio</t>
  </si>
  <si>
    <t>7.2.54</t>
  </si>
  <si>
    <t>Suministro, transporte e instalación de acometida  en 3No8+1N°8+1No10T AWG, LSHF cobre, en 1" incluyendo conductores, ducto de EMT,conexionado,accesorios y  pruebas desde, SubEstacion Bomba de Agua.</t>
  </si>
  <si>
    <t>7.2.55</t>
  </si>
  <si>
    <t>Suministro, transporte e instalación de acometida  en 3No1/0+1No1/0+1No8TA+1No8TD,  AWG, LSHF cobre ", incluyendo conductores, por Carcamo, conexionado,accesorios y pruebas desde Tablero Normal a Gabinete UPS.</t>
  </si>
  <si>
    <t>CANALIZACION EN BAJA TENSION</t>
  </si>
  <si>
    <t>7.2.56</t>
  </si>
  <si>
    <t>Suministro, transporte  y construccion de  canalizacion según norma de ELECTRICARIBE  incluyendo un  ductos de  3/4"</t>
  </si>
  <si>
    <t>7.2.57</t>
  </si>
  <si>
    <t>Suministro, transporte  y construccion de  canalizacion según norma de ELECTRICARIBE  incluyendo un  ductos de  1"</t>
  </si>
  <si>
    <t>7.2.58</t>
  </si>
  <si>
    <t>Suministro, transporte  y construccion de  canalizacion según norma de ELECTRICARIBE  incluyendo dos  ductos libres de  2"</t>
  </si>
  <si>
    <t>CAJAS DE INSPECCION</t>
  </si>
  <si>
    <t>7.2.59</t>
  </si>
  <si>
    <t>Suministro, transporte e instalación de cajas de inspeccion  en mamposteria, de 75x75cm, incluyendo tapa y marco según norma de ECA SB 325</t>
  </si>
  <si>
    <t>7.2.60</t>
  </si>
  <si>
    <t>Suministro, transporte e instalación de cajas de inspeccion sencilla   en mamposteria, de 120x60cm,incluyendo tapa y marco según norma de CODENSA  CS 275</t>
  </si>
  <si>
    <t>7.2.61</t>
  </si>
  <si>
    <t>Suministro, transporte e instalación de cajas de inspeccion  en mamposteria, de 40x40cm, incluyendo tapa y marco según norma de  CODENSA AP280</t>
  </si>
  <si>
    <t>TABLEROS DE DISTRIBUCION
(INCLUYE TODAS LAS HERRAMIENTAS, EQUIPOS, MANO DE OBRA, TRANSPORTE INTERNO - EXTERNO, INSUMOS Y MATERIALES NECESARIOS PARA SU CORRECTA EJECUCIÓN)</t>
  </si>
  <si>
    <t>7.3.1</t>
  </si>
  <si>
    <t>Suministro, transporte e instalacion   de tablero de distribución trifasico con espacio para totalizador, de  8 circuitos  de 4 hilos, 220V de Sobrepones ,(MS1, MS2, MS3, MS4, MS5, MS6) En dos Laboratorios de Electricidad, Para interruptores tipo Riel Diferenciales, para proteccion de estudiantes.</t>
  </si>
  <si>
    <t>7.3.2</t>
  </si>
  <si>
    <t>Suministro, transporte e instalacion   de tablero de distribución trifasico con espacio para totalizador, de  12 circuitos  de 5 hilos, 220V con cerradura,chapa y tapa, TB12, TB21, TB22, TB31,TB37, TR1, TR2, TR3.</t>
  </si>
  <si>
    <t>7.3.3</t>
  </si>
  <si>
    <t>Suministro, transporte e instalacion   de tablero de distribución trifasico con espacio para totalizador, de  18 circuitos  de 5 hilos, 220V con cerradura,chapa y tapa, TB11, TB13, TB16, TB17, TB18, TB19, TB25, TB26, TB32, TB38, TZ2, TZ3.</t>
  </si>
  <si>
    <t>7.3.4</t>
  </si>
  <si>
    <t>Suministro, transporte e instalacion   de tablero de distribución trifasico con espacio para totalizador, de  24 circuitos  de 5 hilos, 220V con cerradura,chapa y tapa, TB23, TB24, TB27, TB28, TB34, TB35, TB36, TZC1.</t>
  </si>
  <si>
    <t>7.3.5</t>
  </si>
  <si>
    <t>Suministro, transporte e instalacion   de tablero de distribución trifasico con espacio para totalizador, de  30 circuitos  de 5 hilos, 220V con cerradura,chapa y tapa  TB33, TB14</t>
  </si>
  <si>
    <t>BREAKERS
(INCLUYE TODAS LAS HERRAMIENTAS, EQUIPOS, MANO DE OBRA, TRANSPORTE INTERNO - EXTERNO, INSUMOS Y MATERIALES NECESARIOS PARA SU CORRECTA EJECUCIÓN)</t>
  </si>
  <si>
    <t>7.4.1</t>
  </si>
  <si>
    <t>Breaker tipo enchufable  de 3x20A  10KA</t>
  </si>
  <si>
    <t>7.4.2</t>
  </si>
  <si>
    <t>Breaker tipo enchufable  de 2x20A  10KA</t>
  </si>
  <si>
    <t>7.4.3</t>
  </si>
  <si>
    <t>Breaker tipo enchufable  de 1x20A  10KA</t>
  </si>
  <si>
    <t>7.4.4</t>
  </si>
  <si>
    <t>Breaker tipo enchufable  de 1x20A  10KA (Diferencial)</t>
  </si>
  <si>
    <t>7.4.5</t>
  </si>
  <si>
    <t>Breaker tipo industrial de 3x40A 25KA, Tableros Normales, Regulados.</t>
  </si>
  <si>
    <t>7.4.6</t>
  </si>
  <si>
    <t>Breaker tipo industrial de 3x60A 25KA,  Tableros Normales, y Aires.</t>
  </si>
  <si>
    <t>7.4.7</t>
  </si>
  <si>
    <t>Breaker tipo Tipo Riel de 1x20A  6KA - Diferencial (iDP).</t>
  </si>
  <si>
    <t>7.4.8</t>
  </si>
  <si>
    <t>Breaker tipo Tipo Riel de 2x20A  6KA - Diferencial  (iDP)</t>
  </si>
  <si>
    <t>TABLEROS CONTROL DE AIRES</t>
  </si>
  <si>
    <t>7.5.1</t>
  </si>
  <si>
    <t>Suministro, transporte e instalacion   de Gabinete Fuerza Aires Fuerza de Aire compuesto por , incluyendo, borneras en riel din, cableado , conexionado, de cada uno de los interruptores de acuerdo a diagrama Unifilar. TAB11., INLUYE Totalizador de 40Amp,  Capacidad de 18 CTOs.</t>
  </si>
  <si>
    <t>7.5.2</t>
  </si>
  <si>
    <t>Suministro, transporte e instalacion   de Gabinete  Fuerza Aires Fuerza de Aire compuesto por , incluyendo, borneras en riel din, cableado , conexionado, de cada uno de los interruptores de acuerdo a diagrama Unifilar. TAB12.  INCLUYE Totalizador de 40Amp,  Capacidad de 42 CTOs.</t>
  </si>
  <si>
    <t>7.5.3</t>
  </si>
  <si>
    <t>Suministro, transporte e instalacion   de Gabinete Fuerza Aires Fuerza de Aire compuesto por , incluyendo, borneras en riel din, cableado , conexionado, de cada uno de los interruptores de acuerdo a diagrama Unifilar. TAB13. INCLUYE Totalizador de 40Amp,  Capacidad de 24 CTOs</t>
  </si>
  <si>
    <t>7.5.4</t>
  </si>
  <si>
    <t>Suministro, transporte e instalacion   de Gabinete Fuerza Aires Fuerza de Aire compuesto por , incluyendo, borneras en riel din, cableado , conexionado, de cada uno de los interruptores de acuerdo a diagrama Unifilar. TAB21 -INCLUYE Totalizador de 40Amp,  Capacidad de 36 CTOs.</t>
  </si>
  <si>
    <t>7.5.5</t>
  </si>
  <si>
    <t>Suministro, transporte e instalacion   de tablero Fuerza Aires Fuerza de Aire compuesto por , incluyendo, borneras en riel din, cableado , conexionado, de cada uno de los interruptores de acuerdo a diagrama Unifilar. TAB22 -INCLUYE Totalizador de 40Amp,  Capacidad de 50 CTOs</t>
  </si>
  <si>
    <t>7.5.6</t>
  </si>
  <si>
    <t>Suministro, transporte e instalacion   de tablero Fuerza Aires Fuerza de Aire compuesto por , incluyendo, borneras en riel din, cableado , conexionado, de cada uno de los interruptores de acuerdo a diagrama Unifilar. TAB23 - INCLUYE Totalizador de 40Amp,  Capacidad de 50 CTOs</t>
  </si>
  <si>
    <t>7.5.7</t>
  </si>
  <si>
    <t>Suministro, transporte e instalacion   de tablero Fuerza Aires Fuerza de Aire compuesto por , incluyendo, borneras en riel din, cableado , conexionado, de cada uno de los interruptores de acuerdo a diagrama Unifilar. TAB31 - INCLUYE Totalizador de 40Amp,  Capacidad de 18 CTOs</t>
  </si>
  <si>
    <t>7.5.8</t>
  </si>
  <si>
    <t>Suministro, transporte e instalacion   de tablero Fuerza Aires Fuerza de Aire compuesto por , incluyendo, borneras en riel din, cableado , conexionado, de cada uno de los interruptores de acuerdo a diagrama Unifilar. TAB32 - - INCLUYE Totalizador de 40Amp,  Capacidad de 18 CTOs</t>
  </si>
  <si>
    <t>7.5.9</t>
  </si>
  <si>
    <t>Suministro, transporte e instalacion   de tablero Fuerza Aires Fuerza de Aire compuesto por , incluyendo, borneras en riel din, cableado , conexionado, de cada uno de los interruptores de acuerdo a diagrama Unifilar.TAB33 - - INCLUYE Totalizador de 40Amp,  Capacidad de 18 CTOs</t>
  </si>
  <si>
    <t>TABLEROS GENERALES - SUBESTACION</t>
  </si>
  <si>
    <t>7.6.1</t>
  </si>
  <si>
    <t>TABLERO FUERZA TABLEROS NORMALES Suministro, transporte e instalación de Transferencia Automatica de acuerdo a APU</t>
  </si>
  <si>
    <t>7.6.2</t>
  </si>
  <si>
    <t>TABLEROS DE CONTROL SISTEMO DE BOMBEO AGUAS uministro, transporte e instalacion   de tablero de distribución CD-1 con  totalizador general de 3X150A,  25KA</t>
  </si>
  <si>
    <t>7.6.3</t>
  </si>
  <si>
    <t>TABLERO DE CONTROL DE ASCENSOR - Suministro, transporte e instalacion   de tablero de distribución con  totalizador general de 3X40A,  25KA</t>
  </si>
  <si>
    <t>7.6.4</t>
  </si>
  <si>
    <t>TABLERO BOMBA DE VACIO - Suministro, transporte e instalacion   de tablero de distribución CD-4 con  totalizador general de 3X125A,  25KA</t>
  </si>
  <si>
    <t>7.6.5</t>
  </si>
  <si>
    <t>TABLERO BOMBA JOCKEY Suministro, transporte e instalacion   de tablero de distribución con  totalizador general de 3X100A,  25KA</t>
  </si>
  <si>
    <t>7.6.6</t>
  </si>
  <si>
    <t>TABLERO BANCO DE CONDENSADORES - 130 KVAR, 6 PASOS MOVILES - DE ACUERDO APU Y DIAGRAMA UNIFILAR</t>
  </si>
  <si>
    <t>7.6.7</t>
  </si>
  <si>
    <t>TABLERO AIRES  - DE ACUERDO APU Y DIAGRAMA UNIFILAR</t>
  </si>
  <si>
    <t>TRANSFERENCIA AUTOMATICA PLANTA ELECTRICA - DE ACUERDO A APU Y DIAGRAMA UNIFILAR</t>
  </si>
  <si>
    <t>7.7.2</t>
  </si>
  <si>
    <t xml:space="preserve"> PLANTA ELECTRICA - DE ACUERDO A ESPECIFICACIONES </t>
  </si>
  <si>
    <t>TABLEROS REGULADOS BY-PASS</t>
  </si>
  <si>
    <t>CANALETA</t>
  </si>
  <si>
    <t>7.10.1</t>
  </si>
  <si>
    <t>Suministro, transporte e instalación   de canaleta metálica con división de 12x5 cm incluyendo todos los elementos de fijacion  y cable desnudo No 10, Para Fijacion en Mezones por la parte Interna o afloramineto para acondicionamineto de tomas por la parte interna con Cajas Rawelt y Tuberia EMT.</t>
  </si>
  <si>
    <t xml:space="preserve">BANDEJA PORTACABLES </t>
  </si>
  <si>
    <t>7.11.1</t>
  </si>
  <si>
    <t>Suministro, transporte  y construccion de bandeja  porta cable DUCTO CERRADO MECANO de  40x8 cm, con division(70/30), incluye soportes, codos, tees,  accesorios, de montaje, sujeción y anclaje para telecomunicaciones, incluyendo cable desnudo No 6. - ELECTRICA, Incluye Curvas y Reducciones - Tramo Final a 30 Cm - ELECTRICA</t>
  </si>
  <si>
    <t>7.11.2</t>
  </si>
  <si>
    <t>Suministro, transporte  y construccion de bandeja  porta cable TIPO MALLA CABLOFIL de  20x8 cm,  incluye soportes, codos, tees,  accesorios, de montaje, sujeción y anclaje para iluminacion, incluyendo cable desnudo No 6. - DATOS</t>
  </si>
  <si>
    <t>SISTEMAS  DE PUESTA A TIERRA - SUBESTACION</t>
  </si>
  <si>
    <t>7.12.1</t>
  </si>
  <si>
    <t>Malla de puesta a tierra para la  subestacion, independiente según ART 15   RETIE,    incluyendo  4 varillas de cobre de  5/8" x 2.44 m, 100m de conductor de cobre desnudo No 2/0,  y 1  pozo de inspeccion,  y  conexiones con  soldadura tipo cadwell</t>
  </si>
  <si>
    <t>SISTEMA DE PARARRAYOS - APANTALLAMIENTO</t>
  </si>
  <si>
    <t>7.13.1</t>
  </si>
  <si>
    <t>Tendido de Platina Por medio de Conlumnas, embebido en las columnas de concreto, desde la cubierta hasta el terreno, incluye accesorios de Equipotencializacion con Estrucuturas por cada Piso, Incluye medida de Equipotencialidad Punto a Punto. (11 Bajantes)</t>
  </si>
  <si>
    <t>7.13.2</t>
  </si>
  <si>
    <t>Tendido de conductor de cobre desnudo # 1/0 AWG, desde cada Platina Bajantes hasta el terreno, Incluye accesorios de Fijacion (Se estiman 4 Metros por cada Bajante).</t>
  </si>
  <si>
    <t>7.13.3</t>
  </si>
  <si>
    <t>Tendido de alambre sólido de alambron  de aluminio  desnudo de 8mm,  sobrepuesto en los bordes de la cubierta para interconexión de puntas captadoras y bajantes a malla a tierra, incluyendo soportes, aisladores, conectores  y abrazaderas para sujetar el conductor al muro.</t>
  </si>
  <si>
    <t>7.13.4</t>
  </si>
  <si>
    <t>Suministro  de un kit de montaje para punta captadora compuesto de los siguientes elementos: Base  con tornillos de fijación a la superficie. Punta captadora Franklin de 0.60 m. De altura. PUNTA CAPTORA 16 mm X 60cm ALUMINIO CON BASE-DX OBO ( No incluye perno expansivo 1/2 )</t>
  </si>
  <si>
    <t>7.13.5</t>
  </si>
  <si>
    <t>Suministro  de un kit de montaje para punta captadora compuesto de los siguientes elementos: Base  con tornillos de fijación a la superficie. Punta captadora Franklin de 1 m. De altura. en acero inoxidable de ø 5/8 “ PUNTA CAPTORA 16 mm X 100cm ALUMINIO CON BASE-DX OBO ( No incluye perno
expansivo 1/2 )</t>
  </si>
  <si>
    <t>7.13.6</t>
  </si>
  <si>
    <t>Barraje equipotencial de 5 conexiones con aisladores para aplicación industrial y aplicaciones , longitud 25 cm, acero inoxidable. En Subestacion, Interconexion de Mallas</t>
  </si>
  <si>
    <t>7.13.7</t>
  </si>
  <si>
    <t>Tendido de conductor de cobre desnudo # 2/0 AWG, para equipotencializar  los sistemas de puesta a  tierra, incluyendo preparacion  del terreno, canalizacion, y soldaduras tipo cadwell</t>
  </si>
  <si>
    <t>7.13.8</t>
  </si>
  <si>
    <t>Electrodo de puesta a tierra en Cu de 5/8"x 2,4mt</t>
  </si>
  <si>
    <t>7.13.10</t>
  </si>
  <si>
    <t xml:space="preserve">Pozo de inspeccion en mamposteria de 30x 30 cm, con marco y tapa,  para albergar un electrodo  de puesta a tierra en Cu de 5/8” x 8' . </t>
  </si>
  <si>
    <t>7.13.11</t>
  </si>
  <si>
    <t>Suministro de tablero con  un barraje de 5mm x 50mm x  400mm, para equipotencializar los sistemas de puesta a tierra, las conexiones al barraje serán con conectores certificados de compresión de dos huecos o soldadura exotérmica, y debe ser aislada de su soporte por lo menos 50mm</t>
  </si>
  <si>
    <t>REDES Y EQUIPOS DE MEDIA TENSION (SUJETOS A LA APROBACION  DE ELECTRICARIBE, PARA EFECTOS DE PRESUPUESTO SE TOMA UN VALOR ESTIMADO)</t>
  </si>
  <si>
    <t>SUBESTACION</t>
  </si>
  <si>
    <t>7.14.1</t>
  </si>
  <si>
    <t>Suministro, transporte e instalación de subestación 500 KVA,  13200 - 220/120 V,  60 Hz, DY5., Tipo Seco - clase F,   incluyendo, celdas de transformador ,  Devanados en Aluminio Tipo Ahorrador, incluye DPS en Media Tension, e indicador de temperatura.</t>
  </si>
  <si>
    <t>7.14.2</t>
  </si>
  <si>
    <t>Celda de Proteccion Mecanica de Transformador</t>
  </si>
  <si>
    <t>7.14.3</t>
  </si>
  <si>
    <t>Terminales Premoldeados Tipo Exterior en media tension,   y demas materiales y elementos, según planos anexos al diseño - juego por tres unidades</t>
  </si>
  <si>
    <t>juego</t>
  </si>
  <si>
    <t>CABLE 15 KV XLPE</t>
  </si>
  <si>
    <t>7.14.4</t>
  </si>
  <si>
    <t>Suministro, transporte e instalacion  de red subterranea de media tension en conductor de aluminio  en 3 No 1/0 AWG, XLPE 15 KV    + Tierra en N°2</t>
  </si>
  <si>
    <t xml:space="preserve">ESTRUCTURAS </t>
  </si>
  <si>
    <t>7.14.5</t>
  </si>
  <si>
    <t>Suministro, transporte e instalación de estructura de afloramientos   según Normas de ELECTRICARIBE - B300, INCLUYE Poste en Alineacion 12m, Puesta a tierra SP003</t>
  </si>
  <si>
    <t>7.14.6</t>
  </si>
  <si>
    <t xml:space="preserve">Suministro, transporte e instalación de estructura de retencion  según Normas de ELECTRICARIBE </t>
  </si>
  <si>
    <t>7.14.7</t>
  </si>
  <si>
    <t xml:space="preserve">Suministro, transporte e instalación de estructura  tangencial  según Normas de ELECTRICARIBE </t>
  </si>
  <si>
    <t>RED MT</t>
  </si>
  <si>
    <t>7.14.8</t>
  </si>
  <si>
    <t>suministro, transporte y tendido de red aerea  media tension en conductor ACSR  3 No 1/0 - ECOLOGICO</t>
  </si>
  <si>
    <t>CANALIZACIONES</t>
  </si>
  <si>
    <t>7.14.9</t>
  </si>
  <si>
    <t>Carcamo 40 x 50 Cm De Prof con excavación rellenos y compactación según norma ELECTRICARIBE, incluye Elaboracion de Tapas</t>
  </si>
  <si>
    <t>CELDA  REMONTE Y PROTECCION</t>
  </si>
  <si>
    <t>7.14.11</t>
  </si>
  <si>
    <t>Suministro, transporte e instalación de celda  entrada - salida + Celda de Proteccion Tipo QM Asilada en SF6-  SECCIONADOR DE 630, 17,5kV, terminales en media tension, y demas materiales y elementos.</t>
  </si>
  <si>
    <t>EQUIPO DE MEDIDA INDIRECTA EN MT 13.2 COSTO ELECTRICARIBE</t>
  </si>
  <si>
    <t>7.14.12</t>
  </si>
  <si>
    <t xml:space="preserve">Suministro, transporte e instalación de equipo de medida de energía activa y reactiva,  en media tension  incluyendo, celda para medidor,  transformadores de corriente, transformodores de  potencial, bornera de prueba, y demas materiales y elementos, según  Normas ELECTRICARIBE </t>
  </si>
  <si>
    <t>REUBICACION DE RED EXISTENTE</t>
  </si>
  <si>
    <t>7.14.13</t>
  </si>
  <si>
    <t>Servicio de Grua Para desmantelacion de Red Existente.</t>
  </si>
  <si>
    <t>SISTEMA DE TELEVISION (SOLO DUCTOS Y CAJAS )</t>
  </si>
  <si>
    <t>SALIDAS DE TV</t>
  </si>
  <si>
    <t>7.15.1</t>
  </si>
  <si>
    <t>Suministro, transporte e instalación de materiales y accesorios para la salida de TV,  incluyendo, ajas, ducto EMT,  de 3/4/" conduletas  y alambre de acero guia  - En cafeteria</t>
  </si>
  <si>
    <t>7.15.2</t>
  </si>
  <si>
    <t>Suministro, transporte e instalación de materiales y accesorios para mastil en ducto galvanizado de 1½"x2m  - En Techo</t>
  </si>
  <si>
    <t>7.15.3</t>
  </si>
  <si>
    <t xml:space="preserve">Suministro e Instalación de un gabinete para equipos de recepción y amplificación de la señal de antena de TV compuesto por un gabinete de 60x40x20 cm tipo  Atlantic de Legrand IP </t>
  </si>
  <si>
    <t>CAJAS</t>
  </si>
  <si>
    <t>7.15.4</t>
  </si>
  <si>
    <t xml:space="preserve">Suministro, transporte e instalación de caja tipo strip   de 30x20x12cm  y accesorios para conexionado </t>
  </si>
  <si>
    <t>SISTEMA DE CABLEADO ESTRUCTURADO - RACK</t>
  </si>
  <si>
    <t>GABINETE DE DATOS</t>
  </si>
  <si>
    <t>7.16.1</t>
  </si>
  <si>
    <t xml:space="preserve">Suministro, transporte e instalación de Gabinete cerrado  de comunicaciones de 150x60x60cm, con multitoma, ventiladores, bandeja  porta equipos,  organizadores verticales y horizontales. </t>
  </si>
  <si>
    <t>PACH PANEL</t>
  </si>
  <si>
    <t>7.16.2</t>
  </si>
  <si>
    <t>Suministro, transporte e instalación de Patch panel de 24 puertos RJ 45 Cat. 6 a</t>
  </si>
  <si>
    <t xml:space="preserve">EQUIPOS ACTIVOS </t>
  </si>
  <si>
    <t>7.16.3</t>
  </si>
  <si>
    <t>Suministro, transporte e instalación de switch  cat 6, ( marca reconocida en el país)  24  puertos,  10/100/1000Mbps</t>
  </si>
  <si>
    <t>FIBRA OPTICA</t>
  </si>
  <si>
    <t>7.16.4</t>
  </si>
  <si>
    <t>Suministro, transporte e instalación de fibra optica 12 hilos protegido contra la humedad, uso exterior</t>
  </si>
  <si>
    <t>BANDEJA FIBRA OPTICA</t>
  </si>
  <si>
    <t>7.16.5</t>
  </si>
  <si>
    <t xml:space="preserve">Suministro, transporte e instalación de Patch panel de 24 puertos RJ 45 Cat. 6, Patch Cord RJ45-RJ45 1m CAT 6 </t>
  </si>
  <si>
    <t>STRIP TELEFONICO</t>
  </si>
  <si>
    <t>7.16.7</t>
  </si>
  <si>
    <t xml:space="preserve">Suministro transporte e instalacion de  strip telefónicocompuesto por  un gabinete tipo Atlantic de legrand IP 55, de 50X40X20cm, dos regletas de 10 pares con picoprotectores a gas, una regleta Simeón S66 de 50 pares para espejo de líneas, con cubierta y   marbete de identificación. </t>
  </si>
  <si>
    <t>7.16.8</t>
  </si>
  <si>
    <t>Puesta a tierra de las regletas de los protectores mediante un conductor de cobre aislado color verde Cal. 8 AWG y varilla de Ø5/8”x2.40 m enterrada en el fondo de la caja de inspección y soldada al cable mediante soldadura exotérmica.</t>
  </si>
  <si>
    <t>SISTEMA HORIZONTAL Y PUESTOS DE TRABAJO VOZ Y DATOS</t>
  </si>
  <si>
    <t>TOMAS LOGICAS</t>
  </si>
  <si>
    <t>7.17.1</t>
  </si>
  <si>
    <t>Suministro, transporte e instalación de materiales y accesorios para la salida de datos 1XRJ45, Cat 6a , incluyendo toma,cajas,  ducto de PVC de 3/4", y demás accesorios.</t>
  </si>
  <si>
    <t>7.17.2</t>
  </si>
  <si>
    <t>Suministro, transporte e instalación de materiales y accesorios para la salida doble  de voz  y datos  1XRJ45, Cat 6 a, incluyendo toma,cajas,  ducto de PVC de 3/4",  y demás accesorios.</t>
  </si>
  <si>
    <t>7.17.3</t>
  </si>
  <si>
    <t xml:space="preserve">Faceplate Doble  </t>
  </si>
  <si>
    <t>7.17.4</t>
  </si>
  <si>
    <t xml:space="preserve">Faceplate sencillo   </t>
  </si>
  <si>
    <t>7.17.5</t>
  </si>
  <si>
    <t>Suministro, transporte e instalación de materiales y accesorios para cable UTP cat 6a, TIPO INTERIOR, incluyendo pruebas</t>
  </si>
  <si>
    <t>7.17.6</t>
  </si>
  <si>
    <t>Patch Cord RJ45-RJ45 3,0  m CAT 6a (solo datos)</t>
  </si>
  <si>
    <t>DOCUMENTACION</t>
  </si>
  <si>
    <t>7.17.7</t>
  </si>
  <si>
    <t>Certificación de punto categoría 6a</t>
  </si>
  <si>
    <t>7.17.8</t>
  </si>
  <si>
    <t>Marcación de puntos lógicos (incluye material)</t>
  </si>
  <si>
    <t>7.17.9</t>
  </si>
  <si>
    <t>Marcación de red eléctrica regulada. (incluye material)</t>
  </si>
  <si>
    <t>7.17.10</t>
  </si>
  <si>
    <t>Marcación Patch Panel. (incluye material)</t>
  </si>
  <si>
    <t>SALIDAS DE DATOS</t>
  </si>
  <si>
    <t>7.17.11</t>
  </si>
  <si>
    <t>Suministro, transporte e instalación de materiales y accesorios para la salida de HDMI Para Video Beam Incluye salida al Lado de Computador, Tuberia EMT, Entrada y Salida Para Conexión de Equipos.</t>
  </si>
  <si>
    <t>7.17.12</t>
  </si>
  <si>
    <t>Suministro, transporte e instalación de materiales y accesorios para Intalacion Para Acces Point Para Sistema Wi-fi, Incluye Fijacion en techo, la salida de datos debe estar a Cero metros.</t>
  </si>
  <si>
    <t>ILUMINACION</t>
  </si>
  <si>
    <t>LED HERMET TUBE 40W (P26735).  (HERMETICA)</t>
  </si>
  <si>
    <t>7.18.1</t>
  </si>
  <si>
    <t>Luminaria  LED hermética  40W, IP 65 para uso interior, con balasto electrónico multivoltaje 100-240V,  Chasis en policarbonato, color 5000K,   fabricada por SYLVANIA o equivalente, Con Certificacion Retilap.</t>
  </si>
  <si>
    <t>LED HERMET TUBE 24W CW (P24198) (HERMETICA)</t>
  </si>
  <si>
    <t>7.18.2</t>
  </si>
  <si>
    <t>Luminaria  LED hermética  24W, IP 65 para uso interior, con balasto electrónico multivoltaje 100-240V,  Chasis en policarbonato, color 5000K,   fabricada por SYLVANIA o equivalente, Con Certificacion Retilap.</t>
  </si>
  <si>
    <t>LED HERMETICA 2X18W T8 - P37188  (HERMETICA)</t>
  </si>
  <si>
    <t>7.18.3</t>
  </si>
  <si>
    <t>Luminaria  fluorescente hermética 2x18W T-8, IP 65 para uso interior, con balasto electrónico multivoltaje 100-240V,  difusor en policarbonato, color 6500K,   fabricada por  por SYLVANIA o equivalente, Con Certificacion Retilap.</t>
  </si>
  <si>
    <t>Panel Led 18W - Circular</t>
  </si>
  <si>
    <t>7.18.4</t>
  </si>
  <si>
    <t>LED PANEL RD 18W DL 100-240 SP, Panel LED de sobreponer,  fabricada por  por SYLVANIA o equivalente, Con Certificacion Retilap.</t>
  </si>
  <si>
    <t>Panel Led 12W - Circular SP</t>
  </si>
  <si>
    <t>7.18.5</t>
  </si>
  <si>
    <t>LED PANEL RD 12W DL 100-240 SP, Panel LED de sobreponer,  fabricada por  por SYLVANIA o equivalente, Con Certificacion Retilap.</t>
  </si>
  <si>
    <t>Luminaria de emergencia   (alumbrado de escape) - R2</t>
  </si>
  <si>
    <t>7.18.6</t>
  </si>
  <si>
    <t>Suministro, transporte e instalación de luminaria   de emergencia LED  de dos bombillas 1,5W. 120V, autonomia de 1 hora LED EMERG R2 2X4W</t>
  </si>
  <si>
    <t>Luminaria de emergencia - AVISO EMERGENCIA</t>
  </si>
  <si>
    <t>7.18.7</t>
  </si>
  <si>
    <t xml:space="preserve">Suministro, transporte e instalación de luminaria   de EVACUACION , con aviso luminoso LED 120V.120V, autonomia de 1 hora </t>
  </si>
  <si>
    <t>Luminaria de emergencia   (alumbrado de escape) - Empotrar</t>
  </si>
  <si>
    <t>7.18.8</t>
  </si>
  <si>
    <t>Suministro, transporte e instalación de luminaria   de EVACUACION , con aviso luminoso LED 120V.120V, autonomia de 1 hora, LED EMERG DOWNLIGHT 4.5W 6K - P26784-36</t>
  </si>
  <si>
    <t>Luminaria SPOT Tablero - Con Riel</t>
  </si>
  <si>
    <t>7.18.9</t>
  </si>
  <si>
    <t>Luminarias tipo SPOT, Para iluminacion Tablero, incluye Riel, Bombillas LED. - 16 Watt</t>
  </si>
  <si>
    <t>Luminaria SHARK - ZD - 35 WATT O EQUIVALENTE</t>
  </si>
  <si>
    <t>7.18.10</t>
  </si>
  <si>
    <t xml:space="preserve">Luminaria  fluorescente hermética  1x32W T-8, IP 67 para uso interior,   difusor en policarbonato, color 4100K,   fabricada por ILUMINACIONES TÉCNICAS con  balasto BODINE B50 DE PHILIPS   para sistema de iluminacion  de emergencia autonomo permanente  90minutos y flujo 1100-1400lm.  </t>
  </si>
  <si>
    <t>Postes</t>
  </si>
  <si>
    <t>7.18.11</t>
  </si>
  <si>
    <t>Suministro, transporte e instalación de poste metalico de  5m tipo ALUMBRADO PUBLICO, Brazo Sencillo, Incluye Elaboracion de Pedestal para Fijacion, para lamparas luminarias en tuberia acero galvanizado de diametro 2" x 5mts long,con base en lamina acero al carbón espesor 1/2",refuerzos en lamina ASTM A-36 galvanizada espesor 1/4" y brazo para lampara en tuberia galvanizada diametro de 2" calibre 3 milimetros por 400mm de longitud, incluye canastilla de fijacion.Acabado pintura
electrostática color gris.</t>
  </si>
  <si>
    <t>7.18.12</t>
  </si>
  <si>
    <t>Suministro, transporte e instalación de poste metalico de  5m tipo ALUMBRADO PUBLICO - Brazo Doble, Incluye Elaboracion de Pedestal para Fijacion, para lamparas luminarias en tuberia acero galvanizado de diametro 2" x 5mts long,con base en lamina acero al carbón espesor 1/2",refuerzos en lamina ASTM A-36 galvanizada espesor 1/4" y brazo para lampara en tuberia galvanizada diametro de 2" calibre 3 milimetros por 400mm de longitud, incluye canastilla de fijacion.Acabado pintura
electrostática color gris.</t>
  </si>
  <si>
    <t>INSTALACIONES MECANICAS AIRE ACONDICIONADO Y EXTRACCION</t>
  </si>
  <si>
    <t xml:space="preserve">BLOQUE DE ALMACEN </t>
  </si>
  <si>
    <t>8.1</t>
  </si>
  <si>
    <t>SISTEMA DE EXTRACCION DE GASES RESIDUALES Y RENOVACION DEL AIRE</t>
  </si>
  <si>
    <t>8.1.1</t>
  </si>
  <si>
    <t>Suministro e instalacion de extractores de 1800 cfm</t>
  </si>
  <si>
    <t>8.1.2</t>
  </si>
  <si>
    <t>Suministro e instalacion de extractor de 1200 cfm para renovacion</t>
  </si>
  <si>
    <t>8.1.4</t>
  </si>
  <si>
    <t>Ducteria de sistema de extraccion de gases</t>
  </si>
  <si>
    <t>8.1.5</t>
  </si>
  <si>
    <t>Sum. e ins. de rejillas de extraccion de gases de 10 x 10 pulgadas</t>
  </si>
  <si>
    <t>8.1.6</t>
  </si>
  <si>
    <t>Filtro de retencion de particula de 28 x 22 x 4 pulgadas</t>
  </si>
  <si>
    <t>8.1.7</t>
  </si>
  <si>
    <t>Ducteria inyeccion para renovacion</t>
  </si>
  <si>
    <t>8.1.8</t>
  </si>
  <si>
    <t>Suministro e instalacion de rejillas de inyeccion para renovacion de 8 x 8 ¨ con damper</t>
  </si>
  <si>
    <t>SISTEMA DE AIRES ACONDICIONADOS</t>
  </si>
  <si>
    <t>8.2.1</t>
  </si>
  <si>
    <t>Suministro e instalacion de aire acondicionado de 15 ton. trifasico a 220 con R410a</t>
  </si>
  <si>
    <t>8.2.3</t>
  </si>
  <si>
    <t>Ducteria para aire acondicionado</t>
  </si>
  <si>
    <t>8.2.4</t>
  </si>
  <si>
    <t>sum. e ins. de rejillas 12 x 12 pulgadas de inyeccion con damper</t>
  </si>
  <si>
    <t>8.2.5</t>
  </si>
  <si>
    <t>suministro e instalacion de control de temperatura</t>
  </si>
  <si>
    <t>8.2.6</t>
  </si>
  <si>
    <t>suminsitros de tuberia en cobre y accesorios para ins. de aires acond.</t>
  </si>
  <si>
    <t>8.2.7</t>
  </si>
  <si>
    <t>suministro e instalacion de rejilla de extraccion de 30 x 30 pulgadas</t>
  </si>
  <si>
    <t>8.2.8</t>
  </si>
  <si>
    <t>Ducteria de extraccion para refrigeracion</t>
  </si>
  <si>
    <t>8.2.9</t>
  </si>
  <si>
    <t>Suministro e instalacion de aire acondicionado mini split de 18000 VTU</t>
  </si>
  <si>
    <t>8.2.10</t>
  </si>
  <si>
    <t>Suminsitros de tuberia en cobre y accesorios para ins. de aire acond. 18000 VTU</t>
  </si>
  <si>
    <t>8.1.3</t>
  </si>
  <si>
    <t>Suministro e instalacion de ventilador de 400 cfm para renovacion</t>
  </si>
  <si>
    <t>8.2.2</t>
  </si>
  <si>
    <t>Suministro e instalacion de aire acondicionado de 14 ton. trifasico a 220 con R410a</t>
  </si>
  <si>
    <t>sum e ins de rejilla de extraccion de 30 x 30 pulgadas</t>
  </si>
  <si>
    <t xml:space="preserve">BLOQUE DE QUIMICA </t>
  </si>
  <si>
    <t>CABINAS EXTRACTORAS</t>
  </si>
  <si>
    <t>8.3.1</t>
  </si>
  <si>
    <t>Unidades extractoras de 400 cfm</t>
  </si>
  <si>
    <t>8.3.2</t>
  </si>
  <si>
    <t>Ducteria para extraccion de gases</t>
  </si>
  <si>
    <t>8.3.3</t>
  </si>
  <si>
    <t>Rejillas de 10 x 10 pulgadas para extraccion de gases</t>
  </si>
  <si>
    <t>MAMPOSTERIA</t>
  </si>
  <si>
    <t>9.1</t>
  </si>
  <si>
    <t>MUROS  EN  BLOQUE  DE  CONCRETO
(INCLUYE TODAS LAS HERRAMIENTAS, EQUIPOS, MANO DE OBRA, TRANSPORTE INTERNO - EXTERNO, INSUMOS Y MATERIALES NECESARIOS PARA SU CORRECTA EJECUCIÓN)</t>
  </si>
  <si>
    <t>9.1.1</t>
  </si>
  <si>
    <t>Muros  en  Bloque   de  Concreto  de  12x12x36 cm  Liso  Color  Gris, Tipo  Bloque  Romano - Indural o equivalente (Incluye Perforacion, Inyeccion de Epoxico, Dovela en Concreto Groutting F´C= 3000 Psi y todo lo necesario para su correcta ejecucion) (PISO 2)</t>
  </si>
  <si>
    <t>9.1.3</t>
  </si>
  <si>
    <t>Vigas dintel en concreto a la vista , f'c=3.500  psi   24.5  Mpa (PISO 2)</t>
  </si>
  <si>
    <t>Vigas dintel en concreto a la vista , f'c=3.500  psi   24.5  Mpa (PISO 3)</t>
  </si>
  <si>
    <t>Vigas dintel en concreto a la vista , f'c=3.500  psi   24.5  Mpa (PISO 4)</t>
  </si>
  <si>
    <t>CUBIERTA</t>
  </si>
  <si>
    <t>10.1</t>
  </si>
  <si>
    <t>BASES  PARA  IMPERMEABILIZACIONES
(INCLUYE TODAS LAS HERRAMIENTAS, EQUIPOS, MANO DE OBRA, TRANSPORTE INTERNO - EXTERNO, INSUMOS Y MATERIALES NECESARIOS PARA SU CORRECTA EJECUCIÓN)</t>
  </si>
  <si>
    <t>10.1.1</t>
  </si>
  <si>
    <t>Pendientado  y  Afinado  con  Mortero  Impermeabilizado, espesor  promedio  e=6  cm    sobre  Cubierta   BLOQUE DE ALMACEN</t>
  </si>
  <si>
    <t>Pendientado  y  Afinado  con  Mortero  Impermeabilizado, espesor  promedio  e=6  cm    sobre   Cubiertas  BLOQUE DE BIOLOGIA</t>
  </si>
  <si>
    <t>Pendientado  y  Afinado  con  Mortero  Impermeabilizado, espesor  promedio  e=6  cm    sobre   Cubierta  BLOQUE DE QUIMICA</t>
  </si>
  <si>
    <t>Pendientado  y  Afinado  con  Mortero  Impermeabilizado, espesor  promedio  e=6  cm    sobre   Cubierta  BLOQUE DE FISICA</t>
  </si>
  <si>
    <t>10.1.2</t>
  </si>
  <si>
    <t>Mediacaña con Mortero Impermeabilizado   Cubiertas BLOQUE DE ALMACEN</t>
  </si>
  <si>
    <t>Mediacaña con Mortero Impermeabilizado   Cubiertas BLOQUE DE BIOLOGIA</t>
  </si>
  <si>
    <t>Mediacaña con Mortero Impermeabilizado   Cubiertas BLOQUE DE QUIMICA</t>
  </si>
  <si>
    <t>Mediacaña con Mortero Impermeabilizado   Cubiertas BLOQUE DE FISICA</t>
  </si>
  <si>
    <t>10.1.3</t>
  </si>
  <si>
    <t>Sistema de Aislamiento Termico en Bloquelon  de arcilla 80 x 23 x 8cm, Tipo Santafe O similar.  Cubiertas BLOQUE DE ALMACEN</t>
  </si>
  <si>
    <t>Sistema de Aislamiento Termico en Bloquelon  de arcilla 80 x 23 x 8cm, Tipo Santafe O similar.   Cubiertas BLOQUE DE BIOLOGIA</t>
  </si>
  <si>
    <t>Sistema de Aislamiento Termico en Bloquelon  de arcilla 80 x 23 x 8cm, Tipo Santafe O similar.  Cubiertas BLOQUE DE QUIMICA</t>
  </si>
  <si>
    <t>Sistema de Aislamiento Termico en Bloquelon  de arcilla 80 x 23 x 8cm, Tipo Santafe O similar.  Cubiertas BLOQUE DE FISICA</t>
  </si>
  <si>
    <t>PAÑETES</t>
  </si>
  <si>
    <t>11.1</t>
  </si>
  <si>
    <t>(ESTUCO PAÑETES INCLUYE TODAS LAS HERRAMIENTAS, EQUIPOS, SUMINISTRO, MANO DE OBRA, TRANSPORTE INTERNO - EXTERNO, INSUMOS Y MATERIALES NECESARIOS PARA SU CORRECTA EJECUCIÓN. ADEMAS FILOS Y DILATACIONES)</t>
  </si>
  <si>
    <t>11.1.1</t>
  </si>
  <si>
    <t>Estuco-Pañete   Proyectado   espesor   e=2 cm.  (Piso 1)</t>
  </si>
  <si>
    <t>Estuco-Pañete   Proyectado   espesor   e=2 cm.  (Piso 2)</t>
  </si>
  <si>
    <t>Estuco-Pañete   Proyectado   espesor   e=2 cm.  (Piso 3)</t>
  </si>
  <si>
    <t>Estuco-Pañete   Proyectado   espesor   e=2 cm.  (Piso 4)</t>
  </si>
  <si>
    <t>(PAÑETES IMPERMEABILIZADOS INCLUYE TODAS LAS HERRAMIENTAS, EQUIPOS, SUMINISTRO, MANO DE OBRA, TRANSPORTE INTERNO - EXTERNO, INSUMOS Y MATERIALES NECESARIOS PARA SU CORRECTA EJECUCIÓN. ADEMAS FILOS Y DILATACIONES)</t>
  </si>
  <si>
    <t>11.2.1</t>
  </si>
  <si>
    <t>Pañete   Impermeabilizado   Muros  y  Piso  Tanque  Contraincendio  con   mortero   M.1:4   y   espesor   e=2 cm .</t>
  </si>
  <si>
    <t>(RECUBRIMIENTO IMPERMEABLE PARA COLUMNAS Y VIGAS A LA VISTA)</t>
  </si>
  <si>
    <t>11.3.1</t>
  </si>
  <si>
    <t>Recubrimiento cementoso impermeable  a columnas externas e internas y a vigas perimetrales (A dos capas)</t>
  </si>
  <si>
    <t>RECUBRIMIENTO  ZONAS  HUMEDAS</t>
  </si>
  <si>
    <t>12.1</t>
  </si>
  <si>
    <t>RECUBRIMIENTO  MUROS  BAÑOS (INCLUYE TODAS LAS HERRAMIENTAS, EQUIPOS, SUMINISTRO, MANO DE OBRA, TRANSPORTE INTERNO - EXTERNO, INSUMOS Y MATERIALES NECESARIOS PARA SU CORRECTA EJECUCIÓN)</t>
  </si>
  <si>
    <t>12.1.1</t>
  </si>
  <si>
    <t xml:space="preserve">Revestimiento  Muros  Baños  en  Ceramica  color  blanco de  30 x 45 cm  </t>
  </si>
  <si>
    <t>12.2</t>
  </si>
  <si>
    <t>RECUBRIMIENTO MUROS CUARTOS DE ASEO (INCLUYE TODAS LAS HERRAMIENTAS, EQUIPOS, SUMINISTRO, MANO DE OBRA, TRANSPORTE INTERNO - EXTERNO, INSUMOS Y MATERIALES NECESARIOS PARA SU CORRECTA EJECUCIÓN)</t>
  </si>
  <si>
    <t>12.2.1</t>
  </si>
  <si>
    <t xml:space="preserve">Revestimiento  Muros  Cuarto de Aseo   en  Ceramica   color   Blanco  de  30 x 45 cm  </t>
  </si>
  <si>
    <t>PISOS</t>
  </si>
  <si>
    <t>BASES  PARA  PISOS (INCLUYE TODAS LAS HERRAMIENTAS, EQUIPOS, SUMINISTRO, MANO DE OBRA, TRANSPORTE INTERNO - EXTERNO, INSUMOS Y MATERIALES NECESARIOS PARA SU CORRECTA EJECUCIÓN)</t>
  </si>
  <si>
    <t>13.1.1</t>
  </si>
  <si>
    <t>Bordillo   Pocetas  Aseo  h=37 cm    (en maposteria + pañete)</t>
  </si>
  <si>
    <t>13.1.2</t>
  </si>
  <si>
    <t>Alistado de nivelacion de piso con mortero impermeabilizado 1:3 de E=4 cm</t>
  </si>
  <si>
    <t xml:space="preserve">PISO EN BALDOSA DE  GRANO VIBROPRENSADO DE 30 X30, GRANO N°1. INCLUYE MORTERO 1:4, BOQUILLA BLANCA, DESTRONQUE, 3 PULIDA Y BRILLO AL PLOMO PARA PISO  </t>
  </si>
  <si>
    <t>13.2.1</t>
  </si>
  <si>
    <t>Baldosa en  grano Vibroprensado de 30 x30, Grano N°1. Incluye Mortero 1:4, Boquilla Blanca, destronque, 3 pulida y brillo al plomo para Piso ( piso 1)</t>
  </si>
  <si>
    <t>Baldosa en  grano Vibroprensado de 30 x30, Grano N°1. Incluye Mortero 1:4, Boquilla Blanca, destronque, 3 pulida y brillo al plomo para Piso ( piso 2)</t>
  </si>
  <si>
    <t>Baldosa en  grano Vibroprensado de 30 x30, Grano N°1. Incluye Mortero 1:4, Boquilla Blanca, destronque, 3 pulida y brillo al plomo para Piso ( piso 3)</t>
  </si>
  <si>
    <t>Baldosa en  grano Vibroprensado de 30 x30, Grano N°1. Incluye Mortero 1:4, Boquilla Blanca, destronque, 3 pulida y brillo al plomo para Piso ( piso 4)</t>
  </si>
  <si>
    <t>PISO EN CONCRETO ENDURECIDO Y ESMALTADO, E = 7 CM . CUARTOS TECNICOS</t>
  </si>
  <si>
    <t>13.3.1</t>
  </si>
  <si>
    <t>Malla Electrosoldada   f'y=5.000 kg/cm2 (500 Mpa)   M.2.21  Para torta de concreto endurecida</t>
  </si>
  <si>
    <t>13.3.2</t>
  </si>
  <si>
    <t>Torta  de  Concreto  Endurecida  y  Esmaltada  e=7 cm color Gris  f'c=3.000 psi, incluye suministro  y  Aplicación  Retardante de Evaporación de agua , Suministro  y  Aplicación  Endurecedor, suministro y aplicación de antisol, dilataciones cortadas y sellos de las juntas con sellante de poliuretano, pulida y brillada de piso y aplicación de recubrimiento de protección de pisos con sellante Aschford de induworker o equivalente  ( piso 1)</t>
  </si>
  <si>
    <t>HALL DE CIRCULACION</t>
  </si>
  <si>
    <t>GUARDAESCOBAS</t>
  </si>
  <si>
    <t>13.4</t>
  </si>
  <si>
    <t>GUARDAESCOBAS EN GRANITO PARA ZONAS DE LABORATORIO Y PASILLOS</t>
  </si>
  <si>
    <t>13.4.1</t>
  </si>
  <si>
    <t>Guarda escoba en media caña en granito, incluye todo lo necesario para su correcta instalacion. Para zonas de laboratorio</t>
  </si>
  <si>
    <t>13.4.2</t>
  </si>
  <si>
    <t>Guarda escoba en granito, incluye todo lo necesario para su correcta instalacion. Para zonas de pasillos</t>
  </si>
  <si>
    <t>IMPERMEABILIZACION</t>
  </si>
  <si>
    <t>IMPERMEABILIZACIÓN CUBIERTAS TRANSITABLES (INCLUYE TODAS LAS HERRAMIENTAS, EQUIPOS, SUMINISTRO, MANO DE OBRA, TRANSPORTE INTERNO - EXTERNO, INSUMOS Y MATERIALES NECESARIOS PARA SU CORRECTA EJECUCIÓN)</t>
  </si>
  <si>
    <t>14.1.1</t>
  </si>
  <si>
    <t>Impermeabilizacion de Cubierta ALMACEN</t>
  </si>
  <si>
    <t>Impermeabilizacion de Cubierta BIOLOGIA</t>
  </si>
  <si>
    <t>Impermeabilizacion de Cubierta QUIMICA</t>
  </si>
  <si>
    <t>Impermeabilizacion de Cubierta  FISICA</t>
  </si>
  <si>
    <t>IMPERMEABILIZACIÓN TANQUES DE AGUA (INCLUYE TODAS LAS HERRAMIENTAS, EQUIPOS, SUMINISTRO, MANO DE OBRA, TRANSPORTE INTERNO - EXTERNO, INSUMOS Y MATERIALES NECESARIOS PARA SU CORRECTA EJECUCIÓN)</t>
  </si>
  <si>
    <t>14.2.1</t>
  </si>
  <si>
    <t>Impermebializacion Interior Muros Tanques de Red Contra incendio</t>
  </si>
  <si>
    <t>IMPERMEABILIZACIÓN EXTERIOR MUROS TANQUES (INCLUYE TODAS LAS HERRAMIENTAS, EQUIPOS, SUMINISTRO, MANO DE OBRA, TRANSPORTE INTERNO - EXTERNO, INSUMOS Y MATERIALES NECESARIOS PARA SU CORRECTA EJECUCIÓN)</t>
  </si>
  <si>
    <t>14.3.1</t>
  </si>
  <si>
    <t>Impermeabilización  Superficial   Exterior  Muros  Tanques de  Red Contra incendio</t>
  </si>
  <si>
    <t>VENTANERIA  PUERTAS y   FACHADA  VENTILADA, incluye suministro, instalación y correcto funcionamioento con todos los accesorios necesarios.</t>
  </si>
  <si>
    <t>PISO 1</t>
  </si>
  <si>
    <t>VENTANAS  LABORATORIOS ALUMINIO ANONIZADO COLOR NATURAL. SISTEMA 3831 ALÚMINA O EQUIVALENTE. VIDRIO TEMPLADO LAMINADO 6 mm. (INCLUYE TODAS LAS HERRAMIENTAS, EQUIPOS, SUMINISTRO, MANO DE OBRA, TRANSPORTE INTERNO - EXTERNO, INSUMOS Y MATERIALES NECESARIOS PARA SU CORRECTA EJECUCIÓN)</t>
  </si>
  <si>
    <t>15.1.1</t>
  </si>
  <si>
    <t xml:space="preserve">Suministro e instalacion de ventana proyectante  50 x 50 cm de 1 hoja movil en aluminio natural REF 1101+3831 con vidrio crudo 4mm bronce, cerraduras de pomo, empaque, y demas accesorios.     </t>
  </si>
  <si>
    <t>PUERTAS EN ALUMINIO Y VIDRIO</t>
  </si>
  <si>
    <t>15.2.5</t>
  </si>
  <si>
    <t xml:space="preserve">Suministro e instalacion de puertas batientes + Fijo Superior de dos (2) hojas en aluminio color natural (Tipo 6), machimbre F-009 y vidrio crudo 4mm Bronce; incluyen bisagras, cerraduras de pomo, empaque y demas accesorios. </t>
  </si>
  <si>
    <t>15.2.6</t>
  </si>
  <si>
    <t xml:space="preserve">Suministro e instalacion de puertas batientes + Fijo Superior de de una (1) hoja en aluminio color natural (Tipo 7), machimbre F-009 y vidrio crudo 4mm Bronce; incluyen bisagras, cerraduras de pomo, empaque y demas accesorios. </t>
  </si>
  <si>
    <t>15.2.7</t>
  </si>
  <si>
    <t xml:space="preserve">Suministro e instalacion de puerta-Ventana corrediza de 2 hojas en aluminio color natural (Tipo 8), REF 7038 + Fijo en la parte Superior con vidrio crudo 5mm Bronce; rodajas en acero, cerraduras overseas, tiradera multiusos,empaque, felpa y demas accesorios. </t>
  </si>
  <si>
    <t>PISO 2</t>
  </si>
  <si>
    <t>15.2.4</t>
  </si>
  <si>
    <t>Suministro e instalacion de puertas batientes de una (1) hoja  en aluminio color natural (Tipo 4) , machimbre F-009 y vidrio crudo 4mm Bronce; incluyen bisagras, cerraduras de pomo, empaque y demas accesorios</t>
  </si>
  <si>
    <t>PISO 3</t>
  </si>
  <si>
    <t>15.2.3</t>
  </si>
  <si>
    <t xml:space="preserve">Suministro e instalacion de puertas batientes de dos (2) hojas  en aluminio color natural (Tipo 3), machimbre F-009 y vidrio crudo 4mm Bronce; incluyen bisagras, cerraduras de pomo, empaque y demas accesorios. </t>
  </si>
  <si>
    <t>PISO 4</t>
  </si>
  <si>
    <t>15.2.2</t>
  </si>
  <si>
    <t>Suministro e instalacion de puertas batientes de una (1) hoja  en aluminio color natural (Tipo 2), machimbre F-009 y vidrio crudo 4mm Bronce; incluyen bisagras, cerraduras de pomo, empaque y demas accesorios.</t>
  </si>
  <si>
    <t>15.2.1</t>
  </si>
  <si>
    <t xml:space="preserve">Suministro e instalacion de puertas batientes de una (1) hoja  en aluminio color natural (Tipo1), machimbre F-009 y vidrio crudo 4mm Bronce; incluyen bisagras, cerraduras de pomo, empaque y demas accesorios.    </t>
  </si>
  <si>
    <t>PUERTAS  ESPECIALES (INCLUYE TODAS LAS HERRAMIENTAS, EQUIPOS, SUMINISTRO, MANO DE OBRA, TRANSPORTE INTERNO - EXTERNO, INSUMOS Y MATERIALES NECESARIOS PARA SU CORRECTA EJECUCIÓN)</t>
  </si>
  <si>
    <t>15.3.1</t>
  </si>
  <si>
    <t>Puerta corta fuegos en punto fijo de emergencia según especificaciones de Diseño</t>
  </si>
  <si>
    <t>15.3.2</t>
  </si>
  <si>
    <t>Puerta    Con cerradura Antipanico    1.00  x  2.40 (Tipo 5)</t>
  </si>
  <si>
    <t>15.3.3</t>
  </si>
  <si>
    <t>Puerta  Para Subestacion y Planta Electrica según especificaciones de Diseño</t>
  </si>
  <si>
    <t>CARPINTERIA METALICA</t>
  </si>
  <si>
    <t>BARANDAS (INCLUYE TODAS LAS HERRAMIENTAS, EQUIPOS, SUMINISTRO, MANO DE OBRA, TRANSPORTE INTERNO - EXTERNO, INSUMOS Y MATERIALES NECESARIOS PARA SU CORRECTA EJECUCIÓN)</t>
  </si>
  <si>
    <t>16.1.1</t>
  </si>
  <si>
    <t>Baranda Metalica de 1 m de alto con Paral en platina metalica de 1/2" , pasamano en tubo de 2" y elementos Horizontales en tuberia de 3/4"</t>
  </si>
  <si>
    <t>DIVISIONES  BAÑOS  EN  ACERO  INOXIDABLE 304 CALIBRE 20 SATINADO. ACCESORIOS INOXIDABLES. BISAGRAS CON APERTURA MAYOR A 100 Y PUERTA CON PESTAÑAS EN ACERO . FIJACIÓN Y NIVELACIÓN TÉCNICA. ESTRUCTURA INTERNA EN TUBERÍA CUADRADA DE ALUMINIO. (INCLUYE TODAS LAS HERRAMIENTAS, EQUIPOS, SUMINISTRO, MANO DE OBRA, TRANSPORTE INTERNO - EXTERNO, INSUMOS Y MATERIALES NECESARIOS PARA SU CORRECTA EJECUCIÓN)</t>
  </si>
  <si>
    <t>16.2.1</t>
  </si>
  <si>
    <t>Division Baño de acero inoxidable anclado a muro, linea institucional   L= 9,8 x H= 1.80,  (incluye Parales, Tabiques Divisorios Superior, inferior y central, Puertas, anclajes y todo lo necesario para su correcta instalacion)</t>
  </si>
  <si>
    <t>16.2.2</t>
  </si>
  <si>
    <t>Division Orinal de acero inoxidable anclado a muro, linea institucional de 0.46x0.96 m, (incluye Parales, Tabique Divisorio, anclajes y todo lo necesario para su correcta instalacion)</t>
  </si>
  <si>
    <t>OTROS ELEMENTOS Y ACCESORIOS (INCLUYE TODAS LAS HERRAMIENTAS, EQUIPOS, SUMINISTRO, MANO DE OBRA, TRANSPORTE INTERNO - EXTERNO, INSUMOS Y MATERIALES NECESARIOS PARA SU CORRECTA EJECUCIÓN)</t>
  </si>
  <si>
    <t>16.3.1</t>
  </si>
  <si>
    <t>Puerta  Escotilla   de  1.10 x 1.10 m  salida cubierta  , en lamina alfajor sobre riel tipo corredera</t>
  </si>
  <si>
    <t>16.3.2</t>
  </si>
  <si>
    <t>Suministro  e  Instalacion    Tapa  Junta  Piso  en  Acero  Inoxidable  Ref. 304  en  lamina de 3mm de espesor  y  ancho  a=30 cm</t>
  </si>
  <si>
    <t>SISTEMAS LIVIANOS</t>
  </si>
  <si>
    <t>BLOQUE ALMACEN</t>
  </si>
  <si>
    <t>DIVISIONES INTERNAS</t>
  </si>
  <si>
    <t>17.2.1</t>
  </si>
  <si>
    <t>Division Mixta en superboard  (H= 2,5 m) y hoja fina en aluminio natural REF 1101+3831 con vidirio 4mm bronce ( H= 1 m)</t>
  </si>
  <si>
    <t>CIELO RASO</t>
  </si>
  <si>
    <t>17.1.1</t>
  </si>
  <si>
    <t>Cielo Raso Metalico ( compuesto por bandejas metálicas soportadas sobre un conjunto de perfiles de suspensión, ya sea de ensamble automático de 9/16" (14mm) o perfilería en aluminio extraído, cortado y armado en obra manualmente. incluye ademas todo lo necesario para su correcta instalacion)</t>
  </si>
  <si>
    <t>DOTACION BAÑOS</t>
  </si>
  <si>
    <t>BLOQUE QUIMICA</t>
  </si>
  <si>
    <t>PORCELANA  SANITARIA
(INCLUYE TODAS LAS HERRAMIENTAS, EQUIPOS, SUMINISTRO, MANO DE OBRA, TRANSPORTE INTERNO - EXTERNO, INSUMOS Y MATERIALES NECESARIOS PARA SU CORRECTA EJECUCIÓN)</t>
  </si>
  <si>
    <t>18.1.1</t>
  </si>
  <si>
    <t>Sanitario  institucional, color blanco, que cumpla con requerimientos ADA para personas con movilidad reducida, cuando en su instalacion asi se requiera. ( Incluye taza, griferia Antivandalica, asiento, valvula, griflex y demas accesorios para su correcta instalacion)</t>
  </si>
  <si>
    <t>18.1.2</t>
  </si>
  <si>
    <t>Sanitario  institucional para minusvalido, color blanco, que cumpla con requerimientos ADA para personas con movilidad reducida. ( Incluye taza, griferia Antivandalica, asiento, valvula, griflex y demas accesorios para su correcta instalacion)</t>
  </si>
  <si>
    <t>18.1.3</t>
  </si>
  <si>
    <t>Suministro e instalacion de orinal ecologico en seco con sus respectivos accesorios antivandalicos</t>
  </si>
  <si>
    <t>18.1.4</t>
  </si>
  <si>
    <t>Suministro e Instalacion de Lavamanos  Esferico  en  Acero  Inoxidable ( Incluye Grifería institucional de mesa tipo push para lavamanos)</t>
  </si>
  <si>
    <t>18.1.5</t>
  </si>
  <si>
    <t>Poceta  Lavaplatos  Sencillo  en  Acero Inoxidable   60x40   para  Laboratorios  y  Cocina ( incluye griferia, Accesorios de desagüe  sencillo  para lavamanos + sifon  botella + Griflex)</t>
  </si>
  <si>
    <t>ACCESORIOS
(INCLUYE TODAS LAS HERRAMIENTAS, EQUIPOS, SUMINISTRO, MANO DE OBRA, TRANSPORTE INTERNO - EXTERNO, INSUMOS Y MATERIALES NECESARIOS PARA SU CORRECTA EJECUCIÓN)</t>
  </si>
  <si>
    <t>18.2.1</t>
  </si>
  <si>
    <t xml:space="preserve">Protector para papel higiénico de sobreponer en la pared, Ref. 8-AA-845, en acero inoxidable 304 satinado, cierre con llave, capacidad 200-400m. </t>
  </si>
  <si>
    <t>18.2.2</t>
  </si>
  <si>
    <t>Dispensador para jabón líquido para instalar en pared con tornillos escondidos, válvula anticorrosiva, cuerpo en acero inoxidable satinado, capacidad 1.2 litros, ventanilla de recarga superior con llave, nivel de jabón, push frontal, Ref. 8-AA-640</t>
  </si>
  <si>
    <t>18.2.3</t>
  </si>
  <si>
    <t>Caneca acero inoxidable para fijar en la pared, Ref. 9-AA-340</t>
  </si>
  <si>
    <t>18.2.4</t>
  </si>
  <si>
    <t>Gabinete para toallas de papel de sobreponer a la pared, en acero inoxidable satinado 304, capactidad  300 toallas  Ref. 8-AA-725, cerradura con llave</t>
  </si>
  <si>
    <t>18.2.5</t>
  </si>
  <si>
    <t xml:space="preserve">Percha en acero inoxidable </t>
  </si>
  <si>
    <t>18.2.6</t>
  </si>
  <si>
    <t>Barra de Apoyo Retráctil para discapacitados  en acero inoxidable.</t>
  </si>
  <si>
    <t>18.2.7</t>
  </si>
  <si>
    <t>Secador de Manos  en acero inoxidable con sensor antivandalico que se apaga a los 30 - 60 seg de uso,  con sistema  que no permite el crecimiento de bacterias, hongos, moho y certificado contra ingreso de agua o sustancias liquidas que puedan afectar su uso. Corona o equivalente.</t>
  </si>
  <si>
    <t>ESPEJOS
(INCLUYE TODAS LAS HERRAMIENTAS, EQUIPOS, SUMINISTRO, MANO DE OBRA, TRANSPORTE INTERNO - EXTERNO, INSUMOS Y MATERIALES NECESARIOS PARA SU CORRECTA EJECUCIÓN)</t>
  </si>
  <si>
    <t>18.3.1</t>
  </si>
  <si>
    <t xml:space="preserve">Espejo Cristal  Biselado de  5 mm </t>
  </si>
  <si>
    <t>REJILLAS  DE  PISO
(INCLUYE TODAS LAS HERRAMIENTAS, EQUIPOS, SUMINISTRO, MANO DE OBRA, TRANSPORTE INTERNO - EXTERNO, INSUMOS Y MATERIALES NECESARIOS PARA SU CORRECTA EJECUCIÓN)</t>
  </si>
  <si>
    <t>18.4.1</t>
  </si>
  <si>
    <t>Rejillas para Desague cromada 3"x2" sosco anti cucaracha</t>
  </si>
  <si>
    <t>18.4.2</t>
  </si>
  <si>
    <t>Tapa registro acero inoxidable 20 cm x 20 cm.</t>
  </si>
  <si>
    <t>BLOQUE FISICA</t>
  </si>
  <si>
    <t>PISO 2-3-4</t>
  </si>
  <si>
    <t>Poceta  Lavaplatos  Sencillo  en  Acero Inoxidable 60x40   para  Laboratorios  y  Cocina ( incluye griferia, Accesorios de desagüe  sencillo  para lavamanos + sifon  botella + Griflex)</t>
  </si>
  <si>
    <t>Protector para papel higiénico de sobreponer en la pared, Ref. 8-AA-845, en acero inoxidable 304 satinado, cierre con llave, capacidad 200-400m.</t>
  </si>
  <si>
    <t>Dispensador para jabón líquido para instalar en pared con tornillos escondidos, válvula anticorrosiva, cuerpo en acero inoxidable satinado, capacidad 1.2 litros, ventanilla de recarga superior con llave, nivel de jabón, push frontal, Ref. 8-AA-640.</t>
  </si>
  <si>
    <t>Gabinete para toallas de papel de sobreponer a la pared, en acero inoxidable satinado 304, capactidad  300 toallas  Ref. 8-AA-725, cerradura con llave.</t>
  </si>
  <si>
    <t>Secador de Manos  en acero inoxidable con sensor antivandalico que se apaga a los 30 - 60 seg de uso,  con sistema que no permite el crecimiento de bacterias, hongos, moho y certificado contra ingreso de agua o sustancias liquidas que puedan afectar su uso.</t>
  </si>
  <si>
    <t>PINTURA</t>
  </si>
  <si>
    <t>PINTURA   MUROS
(INCLUYE TODAS LAS HERRAMIENTAS, EQUIPOS, SUMINISTRO, MANO DE OBRA, TRANSPORTE INTERNO - EXTERNO, INSUMOS Y MATERIALES NECESARIOS PARA SU CORRECTA EJECUCIÓN. ADEMAS FILOS Y DILATACIONES)</t>
  </si>
  <si>
    <t>19.1.1</t>
  </si>
  <si>
    <t>Pintura Vinilo Tipo 1 (Tres manos) Color Blanco. (Piso 1)</t>
  </si>
  <si>
    <t>Pintura Vinilo Tipo 1 (Tres manos) Color Blanco. (Piso 2)</t>
  </si>
  <si>
    <t>Pintura Vinilo Tipo 1 (Tres manos) Color Blanco. (Piso 3)</t>
  </si>
  <si>
    <t>Pintura Vinilo Tipo 1 (Tres manos) Color Blanco. (Piso 4)</t>
  </si>
  <si>
    <t>EQUIPOS ESPECIALES</t>
  </si>
  <si>
    <t>EQUIPOS  DE  ELEVACION
(INCLUYE TODAS LAS HERRAMIENTAS, EQUIPOS, SUMINISTRO, MANO DE OBRA, TRANSPORTE INTERNO - EXTERNO, INSUMOS Y MATERIALES NECESARIOS PARA SU CORRECTA EJECUCIÓN)</t>
  </si>
  <si>
    <t>20.1.1</t>
  </si>
  <si>
    <t>Suministro e Instalación de Ascensor de 1,80 x 1,80 mts, incluye estructura en acero, plataforma completa antideslizante, puertas segun la necesidad del proyecto, seguro mecánico, motor y tablero eléctrico independiente, botoneras interiores y exteriores, sensores electrónicos modificable a las necesidades de el cliente.</t>
  </si>
  <si>
    <t>ESPACIO  PUBLICO Y OBRAS EXTERIORES</t>
  </si>
  <si>
    <t>EXCAVACIONES  y  RELLENOS
(INCLUYE TODAS LAS HERRAMIENTAS, EQUIPOS, SUMINISTRO, MANO DE OBRA, TRANSPORTE INTERNO - EXTERNO, INSUMOS Y MATERIALES NECESARIOS PARA SU CORRECTA EJECUCIÓN)</t>
  </si>
  <si>
    <t>21.1.2</t>
  </si>
  <si>
    <t>Base  en  Mortero  de  Nivelacion   e=4 cm</t>
  </si>
  <si>
    <t>PISOS  y  BORDILLOS (INCLUYE TODAS LAS HERRAMIENTAS, EQUIPOS, SUMINISTRO, MANO DE OBRA, TRANSPORTE INTERNO - EXTERNO, INSUMOS Y MATERIALES NECESARIOS PARA SU CORRECTA EJECUCIÓN)</t>
  </si>
  <si>
    <t>21.2.1</t>
  </si>
  <si>
    <t xml:space="preserve">Sobrecimiento en bloque acostado macizo de 10x 20 x40 por 5 hiladas </t>
  </si>
  <si>
    <t>21.2.2</t>
  </si>
  <si>
    <t xml:space="preserve">Pañete Impermeabilizado para sobrecimiento </t>
  </si>
  <si>
    <t>21.2.3</t>
  </si>
  <si>
    <t>Plantilla en Concreto para ajuste  F´c = 3000 Psi , e= 8 cm</t>
  </si>
  <si>
    <t>21.2.4</t>
  </si>
  <si>
    <t>Suministro e instalacion de Loseta prepulida Color gris, 40 x 40. Espesor 6 cm. Tipo Indural o similar (Incluye relleno de Arena y todo lo necesario para su correcta instalacion)</t>
  </si>
  <si>
    <t>21.2.5</t>
  </si>
  <si>
    <t xml:space="preserve">Bordillo  de  sección   20 x 20 cm   en   Concreto   Reforzado  Arquitectonico   Color  Gris  Claro  a  la  vista     f'c=3.000  psi </t>
  </si>
  <si>
    <t>21.2.6</t>
  </si>
  <si>
    <t>Remate dos caras en piedra china lavada  N°2</t>
  </si>
  <si>
    <t>MOBILIARIO  (suministro e instalacción, incluye accesorios para el correcto funcionamiento) (INCLUYE TODAS LAS HERRAMIENTAS, EQUIPOS, SUMINISTRO, MANO DE OBRA, TRANSPORTE INTERNO - EXTERNO, INSUMOS Y MATERIALES NECESARIOS PARA SU CORRECTA EJECUCIÓN)</t>
  </si>
  <si>
    <t>21.3.1</t>
  </si>
  <si>
    <t xml:space="preserve">Caneca  en  Acero  Inoxidable, según  detalle  especifico.  Prefabricada o Fundida en sitio.  Incluye  formaleta,  concreto, acero, o suministro  e instalacion.  Incluye  suministro e instalacion </t>
  </si>
  <si>
    <t>21.3.2</t>
  </si>
  <si>
    <t>Banca   en   Concreto   con espaldar  en  Malla  Expandida  , según  detalle  especifico.  Prefabricada o Fundida en sitio.  Incluye  formaleta,  concreto, acero, o suministro  e instalacion.  No incluye bases</t>
  </si>
  <si>
    <t>21.3.3</t>
  </si>
  <si>
    <t xml:space="preserve">Suministro e instalacion de Tope llantas prefabricados en concreto Visto , F´c de 3000 Psi, de medidas 15 x 20 x 50 </t>
  </si>
  <si>
    <t>PAISAJISMO
(INCLUYE TODAS LAS HERRAMIENTAS, EQUIPOS, SUMINISTRO, MANO DE OBRA, TRANSPORTE INTERNO - EXTERNO, INSUMOS Y MATERIALES NECESARIOS PARA SU CORRECTA EJECUCIÓN)</t>
  </si>
  <si>
    <t>21.4.1</t>
  </si>
  <si>
    <t>Siembra  de  Grama.  Incluye suministro  e  instalacion, No incluye tierra</t>
  </si>
  <si>
    <t>21.4.2</t>
  </si>
  <si>
    <t xml:space="preserve">Adoquin ecologico(Gramoquin) en concreto de 40 x 40 x 8cm. suministro e instalacion. </t>
  </si>
  <si>
    <t>21.4.3</t>
  </si>
  <si>
    <t>Suministro  y  Siembra  de  Arboles  Auctotonos de la region</t>
  </si>
  <si>
    <t>ASEO y LIMPIEZA</t>
  </si>
  <si>
    <t>LIMPIEZA  FACHADA</t>
  </si>
  <si>
    <t>22.1.1</t>
  </si>
  <si>
    <t>Limpieza  de fachadas</t>
  </si>
  <si>
    <t>22.1.2</t>
  </si>
  <si>
    <t>Hidrofugo para fachada</t>
  </si>
  <si>
    <t>ASEO  GENERAL</t>
  </si>
  <si>
    <t>22.2.1</t>
  </si>
  <si>
    <t xml:space="preserve">Aseo Final </t>
  </si>
  <si>
    <t>VALOR TOTAL COSTOS DIRECTOS</t>
  </si>
  <si>
    <t>VALOR TOTAL COSTOS INDIRECTOS</t>
  </si>
  <si>
    <t>ADMINISTRACIÓN</t>
  </si>
  <si>
    <t>IMPREVISTOS</t>
  </si>
  <si>
    <t>UTILIDAD</t>
  </si>
  <si>
    <t>VALOR TOTAL ETAPA 2 (A)</t>
  </si>
  <si>
    <t>CERTICACIONES ELECTRICAS Y DERECHOS DE CONEXIÓN</t>
  </si>
  <si>
    <t>7.8.1</t>
  </si>
  <si>
    <t>Certificacion RETIE y RETILAP</t>
  </si>
  <si>
    <t>7.8.2</t>
  </si>
  <si>
    <t>Derechos de conexión ante ELECTRICARIBE</t>
  </si>
  <si>
    <t>MOBILIARIO</t>
  </si>
  <si>
    <r>
      <rPr>
        <b/>
        <sz val="8"/>
        <color rgb="FFFFFFFF"/>
        <rFont val="Liberation Sans Narrow"/>
        <family val="2"/>
      </rPr>
      <t>ITEM</t>
    </r>
  </si>
  <si>
    <r>
      <rPr>
        <b/>
        <sz val="8"/>
        <color rgb="FFFFFFFF"/>
        <rFont val="Liberation Sans Narrow"/>
        <family val="2"/>
      </rPr>
      <t>DESCRIPCION</t>
    </r>
  </si>
  <si>
    <r>
      <rPr>
        <b/>
        <sz val="8"/>
        <color rgb="FFFFFFFF"/>
        <rFont val="Liberation Sans Narrow"/>
        <family val="2"/>
      </rPr>
      <t>CANTIDAD</t>
    </r>
  </si>
  <si>
    <r>
      <rPr>
        <b/>
        <sz val="8"/>
        <color rgb="FFFFFFFF"/>
        <rFont val="Liberation Sans Narrow"/>
        <family val="2"/>
      </rPr>
      <t>VALOR UNITARIO</t>
    </r>
  </si>
  <si>
    <r>
      <rPr>
        <b/>
        <sz val="8"/>
        <color rgb="FFFFFFFF"/>
        <rFont val="Liberation Sans Narrow"/>
        <family val="2"/>
      </rPr>
      <t>VALOR TOTAL</t>
    </r>
  </si>
  <si>
    <t>ALMACEN FISICA</t>
  </si>
  <si>
    <r>
      <rPr>
        <sz val="6.5"/>
        <rFont val="Liberation Sans Narrow"/>
        <family val="2"/>
      </rPr>
      <t>MESON EN FORMICA DE 1,40 X 3,76 X 60 SIN ARCHIVADORES CONSTA DE ESTRUCTURA METALICA CON ACABADOS EN PINTURA ELECTROSTATICA</t>
    </r>
  </si>
  <si>
    <r>
      <rPr>
        <sz val="8"/>
        <rFont val="Liberation Sans Narrow"/>
        <family val="2"/>
      </rPr>
      <t>UND</t>
    </r>
  </si>
  <si>
    <r>
      <rPr>
        <sz val="6.5"/>
        <rFont val="Liberation Sans Narrow"/>
        <family val="2"/>
      </rPr>
      <t>ESTANTES DE 90 X 2,00 X 40 EN LAMINA CR PARALES EN CAL 16 DE UÑA GRADUABLE Y BANDEJAS EN CAL 22 CON PINTURA ELECTROSTATICA.</t>
    </r>
  </si>
  <si>
    <t>PUESTO DE TRABAJO DE 1,20 X 60 CON SU RESPECTIVAS CAJONERAS COSTADO METALICO INCLUYE SUPERFICIE EN TABLEX DE 30MM CON FORMICA F8 Y FILOS EN CANTO RIGIDO.</t>
  </si>
  <si>
    <r>
      <rPr>
        <sz val="6.5"/>
        <rFont val="Liberation Sans Narrow"/>
        <family val="2"/>
      </rPr>
      <t>SILLA SECRETARIAL PRAGA, ESPALDA EN POLIPROPILENO CON MALLA, ASIENTO EN ESPUMA DE ALTA DENSIDAD CON TAPIZ EN TELA TIPO MALLA, BRAZO GRADUABLE EN ALTURA, BASE DE CINCO ASPAS EN POLIPROPILENO CON RODACHINAS EN NYLON DE ALTA RESISTENCIA. MECANISMO NEUMATICO. COLOR NEGRO.</t>
    </r>
  </si>
  <si>
    <r>
      <rPr>
        <b/>
        <sz val="8"/>
        <color rgb="FFFFFFFF"/>
        <rFont val="Liberation Sans Narrow"/>
        <family val="2"/>
      </rPr>
      <t>CAFETERIA</t>
    </r>
  </si>
  <si>
    <r>
      <rPr>
        <sz val="6.5"/>
        <rFont val="Liberation Sans Narrow"/>
        <family val="2"/>
      </rPr>
      <t>MESA PARA CAFÉTERIA DE 80 X 120 REFERENCIA STYLE</t>
    </r>
  </si>
  <si>
    <r>
      <rPr>
        <sz val="6.5"/>
        <rFont val="Liberation Sans Narrow"/>
        <family val="2"/>
      </rPr>
      <t>SILLA PARA CAFETERIA REFERENCIA STYLE</t>
    </r>
  </si>
  <si>
    <r>
      <rPr>
        <b/>
        <sz val="8"/>
        <color rgb="FFFFFFFF"/>
        <rFont val="Liberation Sans Narrow"/>
        <family val="2"/>
      </rPr>
      <t>ALMACEN BIOLOGIA</t>
    </r>
  </si>
  <si>
    <r>
      <rPr>
        <sz val="6.5"/>
        <rFont val="Liberation Sans Narrow"/>
        <family val="2"/>
      </rPr>
      <t xml:space="preserve">ESTANTERIA METALICA PISO A TECHO DE 1,20 X 50 PARA DEPOSITO DE
</t>
    </r>
    <r>
      <rPr>
        <sz val="6.5"/>
        <rFont val="Liberation Sans Narrow"/>
        <family val="2"/>
      </rPr>
      <t>VIDRIOS</t>
    </r>
  </si>
  <si>
    <r>
      <rPr>
        <sz val="6.5"/>
        <rFont val="Liberation Sans Narrow"/>
        <family val="2"/>
      </rPr>
      <t>MUEBLE METALICO EN LAMINA CR CAL 22 CON ACABADOS EN PINTURA ELECTROSTÁTICA, PUERTAS CON VIDRIO LAMINADO 2+2. DE 90 x 2,00 x 60</t>
    </r>
  </si>
  <si>
    <r>
      <rPr>
        <sz val="6.5"/>
        <rFont val="Liberation Sans Narrow"/>
        <family val="2"/>
      </rPr>
      <t>PUESTO DE TRABAJO DE 1,20 X 60 CON SU RESPECTIVAS CAJONERAS COSTADO METALICO INCLUYE SUPERFICIE EN TABLEX DE 30MM CON FORMICA F8 Y FILOS EN CANTO RIGIDO.</t>
    </r>
  </si>
  <si>
    <r>
      <rPr>
        <sz val="6.5"/>
        <rFont val="Liberation Sans Narrow"/>
        <family val="2"/>
      </rPr>
      <t>MESON PERIMETRAL EN RESINA FENOLICA PRENSADA COLOR NEGRO. RENGRUESE EN LOS BORDES Y SALPICADERO DE 10 cm. LARGO= 4,50m PROFUNDIDAD = 0 ,50 m. ESTRUCTURA INFERIOR METALICA ( HIERRO C.R.)</t>
    </r>
  </si>
  <si>
    <r>
      <rPr>
        <sz val="6.5"/>
        <rFont val="Liberation Sans Narrow"/>
        <family val="2"/>
      </rPr>
      <t>MESON PERIMETRAL EN RESINA FENOLICA PRENSADA COLOR NEGRO. RENGRUESE EN LOS BORDES Y SALPICADERO DE 10 cm. LARGO= 2,20m PROFUNDIDAD = 0 ,60 m. ESTRUCTURA INFERIOR METALICA ( HIERRO C.R.). POCETA PLASTICA 34x34x23cm, INCLIUYE LLAVE REMOTA, GRIFERIA CUELLO DE CISNE FIJA. ESCURRIDERO PARA VIDRIERIA EN RESINA FENOLICA PRENSADA A ALTAS TEMPERATURAS. Medidas: 60x60cm. CANALETA EN ACERO INOX PARA DESAGUE Y MANGUERA.</t>
    </r>
  </si>
  <si>
    <r>
      <rPr>
        <sz val="6.5"/>
        <rFont val="Liberation Sans Narrow"/>
        <family val="2"/>
      </rPr>
      <t>GABINETE DE SEGURIDAD PARA LIQUIDOS CORROSIVOS PARA ALTA CORROSIÓN. INTERIOR EN FIBRA DE VIDRIO. EXTERIOR EN LAMINA DE ACERO, PUERTAS CON AMPLIA APERTURA, CIERRE DE SEGURIDAD , ENTREPAÑOS AJUSTABLES, BANDEJA COLECTORA ANTIDERRAMES DE FACIL LIMPIEZA. RECUBRIMIENTO EPOXICO EXTERIOR</t>
    </r>
  </si>
  <si>
    <r>
      <rPr>
        <sz val="6.5"/>
        <rFont val="Liberation Sans Narrow"/>
        <family val="2"/>
      </rPr>
      <t xml:space="preserve">GABINETE PARA ALMACENAMIENTO DE ACIDOS CORROSIVOS CON
</t>
    </r>
    <r>
      <rPr>
        <sz val="6.5"/>
        <rFont val="Liberation Sans Narrow"/>
        <family val="2"/>
      </rPr>
      <t>FILTRCION</t>
    </r>
  </si>
  <si>
    <r>
      <rPr>
        <sz val="6.5"/>
        <rFont val="Liberation Sans Narrow"/>
        <family val="2"/>
      </rPr>
      <t>DUCHA DEEMERGENCIA DE PISO A TECHO, CON ACCESORIO LAVAOJOS, INCLUYE SEÑALIZACION EN COLOR AMARILLO O NARANJA</t>
    </r>
  </si>
  <si>
    <r>
      <rPr>
        <b/>
        <sz val="8"/>
        <color rgb="FFFFFFFF"/>
        <rFont val="Liberation Sans Narrow"/>
        <family val="2"/>
      </rPr>
      <t>MOLECULAR</t>
    </r>
  </si>
  <si>
    <r>
      <rPr>
        <sz val="6.5"/>
        <rFont val="Liberation Sans Narrow"/>
        <family val="2"/>
      </rPr>
      <t>BUTACO PARA LABORATORIO, ASIENTO MEDIO CON ESPUMA INYECTADA DE ALTA DENSIDAD TAPIZADO EN PIEL INTEGRAL. CONJUNTO NEUMATICO CON APOYAPIES EN POLIURETANO, BASE DE CINCO ASPAS CON NIVELADOR FIJO. COLOR NEGRO. MATERIALES ESPECIALES PARA LABORATORIO (ANTIHONGO)</t>
    </r>
  </si>
  <si>
    <r>
      <rPr>
        <sz val="6.5"/>
        <rFont val="Liberation Sans Narrow"/>
        <family val="2"/>
      </rPr>
      <t>VIDEO BEAM</t>
    </r>
  </si>
  <si>
    <r>
      <rPr>
        <sz val="6.5"/>
        <rFont val="Liberation Sans Narrow"/>
        <family val="2"/>
      </rPr>
      <t>SILLA FIJA ISOSCELES MALLA, ESPALDAR EN MARCO DE POLIPROPILENOS CON MALLA, ASIENTO EN ESPUMA DE ALTA DENSIDAD CON TAPIZ EN TELA TIPO MALLA, SIN BRAZOS ESTRUCTURA METALICA CON ACABADOS EN PINTURA ELECTROSTATICA. COLOR NEGRO.</t>
    </r>
  </si>
  <si>
    <r>
      <rPr>
        <sz val="6.5"/>
        <rFont val="Liberation Sans Narrow"/>
        <family val="2"/>
      </rPr>
      <t>ARMARIO PARA BATAS EN MADECORD DE 15 MM CON ENTREPAÑOS, PUERTAS ABATIBLES  Y CHAPA DE SEGURIDAD DE 2,20 X 1,50 X 50.</t>
    </r>
  </si>
  <si>
    <r>
      <rPr>
        <sz val="6.5"/>
        <rFont val="Liberation Sans Narrow"/>
        <family val="2"/>
      </rPr>
      <t>LOCKER DE TRES CUERPOS CON DOCE CASILLEROS, ELABORADO EN LAMINA CR CAL 22. DE 2,00 X 93 X 30. ACABADOS EN PINTURA ELECTROSTÁTICA.</t>
    </r>
  </si>
  <si>
    <r>
      <rPr>
        <b/>
        <sz val="6.5"/>
        <rFont val="Liberation Sans Narrow"/>
        <family val="2"/>
      </rPr>
      <t xml:space="preserve">SECUENCIACION </t>
    </r>
    <r>
      <rPr>
        <sz val="6.5"/>
        <rFont val="Liberation Sans Narrow"/>
        <family val="2"/>
      </rPr>
      <t xml:space="preserve">- MESON PERIMETRAL EN "L" EN RESINA FENOLICA PRENSADA COLOR NEGRO. RENGRUESE EN LOS BORDES Y SALPICADERO DE 10 cm. PERIMETRO=7,10m PROFUNDIDAD = 0 ,60 m. ESTRUCTURA INFERIOR METALICA ( HIERRO C.R.). POCETA PLASTICA 34x34x23cm, INCLUYE LLAVE REMOTA, GRIFERIA CUELLO DE CISNE FIJA. MODULO INFERIOR RODANTE EN TABLERO ESTRUCTURADO PARA LABORATORIOS, 3 CAJONES
</t>
    </r>
    <r>
      <rPr>
        <sz val="6.5"/>
        <rFont val="Liberation Sans Narrow"/>
        <family val="2"/>
      </rPr>
      <t xml:space="preserve">VERTICALES, MANIJAS EN ACERO INOX,  Profundidad= 50cm, ancho= 45 cm y altura 80cm. POCETA PLASTICA 34x34x23cm, INCLIUYE LLAVE REMOTA, GRIFERIA CUELLO DE CISNE FIJA. ESCURRIDERO PARA VIDRIERIA EN RESINA FENOLICA PRENSADA A ALTAS TEMPERATURAS. Medidas: 60x60cm. CANALETA
</t>
    </r>
    <r>
      <rPr>
        <sz val="6.5"/>
        <rFont val="Liberation Sans Narrow"/>
        <family val="2"/>
      </rPr>
      <t>EN ACERO INOX PARA DESAGUE Y MANGUERA.</t>
    </r>
  </si>
  <si>
    <r>
      <rPr>
        <b/>
        <sz val="6.5"/>
        <rFont val="Liberation Sans Narrow"/>
        <family val="2"/>
      </rPr>
      <t xml:space="preserve">HIBRIDACION </t>
    </r>
    <r>
      <rPr>
        <sz val="6.5"/>
        <rFont val="Liberation Sans Narrow"/>
        <family val="2"/>
      </rPr>
      <t xml:space="preserve">- MESON PERIMETRAL EN "L" EN RESINA FENOLICA PRENSADA COLOR NEGRO. RENGRUESE EN LOS BORDES Y SALPICADERO DE 10 cm.
</t>
    </r>
    <r>
      <rPr>
        <sz val="6.5"/>
        <rFont val="Liberation Sans Narrow"/>
        <family val="2"/>
      </rPr>
      <t>PERIMETRO=6,00m PROFUNDIDAD = 0 ,60 m. ESTRUCTURA INFERIOR METALICA ( HIERRO C.R.)..</t>
    </r>
  </si>
  <si>
    <r>
      <rPr>
        <b/>
        <sz val="6.5"/>
        <rFont val="Liberation Sans Narrow"/>
        <family val="2"/>
      </rPr>
      <t xml:space="preserve">ELECTROFORENSIS </t>
    </r>
    <r>
      <rPr>
        <sz val="6.5"/>
        <rFont val="Liberation Sans Narrow"/>
        <family val="2"/>
      </rPr>
      <t>- MESON PERIMETRAL EN "L" EN RESINA FENOLICA PRENSADA COLOR NEGRO. RENGRUESE EN LOS BORDES Y SALPICADERO DE 10 cm. PERIMETRO=6,0,m PROFUNDIDAD = 0 ,60 m. ESTRUCTURA INFERIOR METALICA ( HIERRO C.R.). POCETA PLASTICA 34x34x23cm, INCLUYE LLAVE REMOTA, GRIFERIA CUELLO DE CISNE FIJA.ESCURRIDERO PARA VIDRIERIA EN RESINA FENOLICA . Medidas: 60x60cm. CANALETA EN ACERO INOX PARA DESAGUE Y MANGUERA.</t>
    </r>
  </si>
  <si>
    <r>
      <rPr>
        <b/>
        <sz val="6.5"/>
        <rFont val="Liberation Sans Narrow"/>
        <family val="2"/>
      </rPr>
      <t xml:space="preserve">TERMOCICLADOR </t>
    </r>
    <r>
      <rPr>
        <sz val="6.5"/>
        <rFont val="Liberation Sans Narrow"/>
        <family val="2"/>
      </rPr>
      <t xml:space="preserve">- MESON PERIMETRAL EN "L" EN RESINA FENOLICA
</t>
    </r>
    <r>
      <rPr>
        <sz val="6.5"/>
        <rFont val="Liberation Sans Narrow"/>
        <family val="2"/>
      </rPr>
      <t xml:space="preserve">PRENSADA COLOR NEGRO. RENGRUESE EN LOS BORDES Y SALPICADERO DE 10 cm. PERIMETRO=6,0,m PROFUNDIDAD = 0 ,60 m. ESTRUCTURA INFERIOR METALICA ( HIERRO C.R.). POCETA PLASTICA 34x34x23cm, INCLUYE LLAVE REMOTA, GRIFERIA CUELLO DE CISNE FIJA. MODULO INFERIOR RODANTE EN TABLERO ESTRUCTURADO PARA LABORATORIOS, 3 CAJONES
</t>
    </r>
    <r>
      <rPr>
        <sz val="6.5"/>
        <rFont val="Liberation Sans Narrow"/>
        <family val="2"/>
      </rPr>
      <t xml:space="preserve">VERTICALES, MANIJAS EN ACERO INOX,  Profundidad= 50cm, ancho= 45 cm y altura 80cm.  ESCURRIDERO PARA VIDRIERIA EN RESINA FENOLICA PRENSADA A ALTAS TEMPERATURAS. Medidas: 60x60cm. CANALETA EN ACERO
</t>
    </r>
    <r>
      <rPr>
        <sz val="6.5"/>
        <rFont val="Liberation Sans Narrow"/>
        <family val="2"/>
      </rPr>
      <t>INOX PARA DESAGUE Y MANGUERA.</t>
    </r>
  </si>
  <si>
    <r>
      <rPr>
        <b/>
        <sz val="6.5"/>
        <rFont val="Liberation Sans Narrow"/>
        <family val="2"/>
      </rPr>
      <t xml:space="preserve">ACIDOS NUCLEICOS </t>
    </r>
    <r>
      <rPr>
        <sz val="6.5"/>
        <rFont val="Liberation Sans Narrow"/>
        <family val="2"/>
      </rPr>
      <t xml:space="preserve">- MESON PERIMETRAL EN "U" EN RESINA FENOLICA PRENSADA COLOR NEGRO. RENGRUESE EN LOS BORDES Y SALPICADERO DE 10 cm. PERIMETRO=10,00m PROFUNDIDAD = 0 ,60 m. ESTRUCTURA INFERIOR METALICA ( HIERRO C.R.). MODULO INFERIOR RODANTE EN TABLERO ESTRUCTURADO PARA LABORATORIOS, 3 CAJONES VERTICALES,
</t>
    </r>
    <r>
      <rPr>
        <sz val="6.5"/>
        <rFont val="Liberation Sans Narrow"/>
        <family val="2"/>
      </rPr>
      <t>MANIJAS EN ACERO INOX,  Profundidad= 50cm, ancho= 45 cm y altura 80cm.</t>
    </r>
  </si>
  <si>
    <r>
      <rPr>
        <b/>
        <sz val="6.5"/>
        <rFont val="Liberation Sans Narrow"/>
        <family val="2"/>
      </rPr>
      <t xml:space="preserve">REACTIVOS </t>
    </r>
    <r>
      <rPr>
        <sz val="6.5"/>
        <rFont val="Liberation Sans Narrow"/>
        <family val="2"/>
      </rPr>
      <t>- MESON PERIMETRAL EN "L" EN RESINA FENOLICA PRENSADA COLOR NEGRO. RENGRUESE EN LOS BORDES Y SALPICADERO DE 10 cm. PERIMETRO=6,20m PROFUNDIDAD = 0 ,60 m. ESTRUCTURA INFERIOR METALICA ( HIERRO C.R.). POCETA PLASTICA 34x34x23cm, INCLUYE LLAVE REMOTA, GRIFERIA CUELLO DE CISNE FIJA. ESCURRIDERO PARA VIDRIERIA EN RESINA FENOLICA PRENSADA A ALTAS TEMPERATURAS. Medidas: 60x60cm. CANALETA EN ACERO INOX PARA DESAGUE Y MANGUERA.</t>
    </r>
  </si>
  <si>
    <r>
      <rPr>
        <sz val="6.5"/>
        <rFont val="Liberation Sans Narrow"/>
        <family val="2"/>
      </rPr>
      <t xml:space="preserve">MESON PERIMETRAL EN "L" EN RESINA FENOLICA PRENSADA COLOR NEGRO. RENGRUESE EN LOS BORDES Y SALPICADERO DE 10 cm.
</t>
    </r>
    <r>
      <rPr>
        <sz val="6.5"/>
        <rFont val="Liberation Sans Narrow"/>
        <family val="2"/>
      </rPr>
      <t xml:space="preserve">PERIMETRO=4,0,m PROFUNDIDAD = 0 ,60 m. ESTRUCTURA INFERIOR METALICA ( HIERRO C.R.). POCETA PLASTICA 34x34x23cm, INCLUYE LLAVE REMOTA, GRIFERIA CUELLO DE CISNE FIJA.ESCURRIDERO PARA VIDRIERIA EN RESINA FENOLICA PRENSADA A ALTAS TEMPERATURAS. Medidas: 60x60cm.
</t>
    </r>
    <r>
      <rPr>
        <sz val="6.5"/>
        <rFont val="Liberation Sans Narrow"/>
        <family val="2"/>
      </rPr>
      <t>CANALETA EN ACERO INOX PARA DESAGUE Y MANGUERA.</t>
    </r>
  </si>
  <si>
    <r>
      <rPr>
        <sz val="6.5"/>
        <rFont val="Liberation Sans Narrow"/>
        <family val="2"/>
      </rPr>
      <t>TABLERO EN VIDRIO TEMPLADO DE 8MM DILATADO EN PARED CON ACCESORIOS EN ACERO INOXIDABLE</t>
    </r>
  </si>
  <si>
    <r>
      <rPr>
        <sz val="6.5"/>
        <rFont val="Liberation Sans Narrow"/>
        <family val="2"/>
      </rPr>
      <t>DUCHA DE EMERGENCIA DE PISO A TECHO, CON ACCESORIO LAVAOJOS, INCLUYE SEÑALIZACION EN COLOR AMARILLO</t>
    </r>
  </si>
  <si>
    <r>
      <rPr>
        <b/>
        <sz val="8"/>
        <color rgb="FFFFFFFF"/>
        <rFont val="Liberation Sans Narrow"/>
        <family val="2"/>
      </rPr>
      <t>ORGANICA</t>
    </r>
  </si>
  <si>
    <r>
      <rPr>
        <sz val="6.5"/>
        <rFont val="Liberation Sans Narrow"/>
        <family val="2"/>
      </rPr>
      <t>ISLA DE TRABAJO CON SUPERFICIE EN RESINA FENOLICA PRENSADA EN ALTAS TEMPERATURAS COLOR NEGRO A ALTAS TEMPERATURAS COLOR NEGRO. CUENTA CON REGRUESE EN LOS BORDES PARA MAYOR RIGIDEZ, LARGO=5,20M ISLA, ANCHO = 1,50 M. ESTRUCTURA INFERIOR METÁLICA HIERRO C.R., CON ACABADOS EN PINTURA ELECTROSTÁTICA AL AHORNO, ANCHO= 1,50 M. POCETA PLÁSTICA. MEDIDAS: 34X34X23CM,  LLAVE REMOTA, GRIFERIA CUELLO DE CISNE FIJA. ESCURRIDERO PARA VIDRIERÍA EN RESINA FENÓLICA MEDIDAS: 60X60CM. CANALETA EN ACERO INOXIDABLE PARA DESAGÜE Y MANGUERA.</t>
    </r>
  </si>
  <si>
    <r>
      <rPr>
        <sz val="6.5"/>
        <rFont val="Liberation Sans Narrow"/>
        <family val="2"/>
      </rPr>
      <t xml:space="preserve">MESON PERIMETRAL EN "L" EN RESINA FENOLICA PRENSADA COLOR NEGRO. RENGRUESE EN LOS BORDES Y SALPICADERO DE 10 cm.
</t>
    </r>
    <r>
      <rPr>
        <sz val="6.5"/>
        <rFont val="Liberation Sans Narrow"/>
        <family val="2"/>
      </rPr>
      <t xml:space="preserve">PERIMETRO=9,00m PROFUNDIDAD = 0 ,60 m. ESTRUCTURA INFERIOR METALICA ( HIERRO C.R.). POCETA PLASTICA 34x34x23cm, INCLUYE LLAVE REMOTA, GRIFERIA CUELLO DE CISNE FIJA. MODULO INFERIOR RODANTE EN TABLERO ESTRUCTURADO PARA LABORATORIOS, 3 CAJONES VERTICALES,
</t>
    </r>
    <r>
      <rPr>
        <sz val="6.5"/>
        <rFont val="Liberation Sans Narrow"/>
        <family val="2"/>
      </rPr>
      <t xml:space="preserve">MANIJAS EN ACERO INOX,  Profundidad= 50cm, ancho= 45 cm y altura 80cm. ESCURRIDERO PARA VIDRIERIA EN RESINA FENOLICA PRENSADA A ALTAS TEMPERATURAS. Medidas: 60x60cm. CANALETA EN ACERO INOX PARA
</t>
    </r>
    <r>
      <rPr>
        <sz val="6.5"/>
        <rFont val="Liberation Sans Narrow"/>
        <family val="2"/>
      </rPr>
      <t>DESAGUE Y MANGUERA.</t>
    </r>
  </si>
  <si>
    <r>
      <rPr>
        <sz val="6.5"/>
        <rFont val="Liberation Sans Narrow"/>
        <family val="2"/>
      </rPr>
      <t>MESON PERIMETRAL EN EN RESINA FENOLICA PRENSADA COLOR NEGRO. RENGRUESE EN LOS BORDES Y SALPICADERO DE 10 cm. PERIMETRO=2,50m PROFUNDIDAD = 2,5 m. ESTRUCTURA INFERIOR METALICA ( HIERRO C.R.)..</t>
    </r>
  </si>
  <si>
    <r>
      <rPr>
        <sz val="6.5"/>
        <rFont val="Liberation Sans Narrow"/>
        <family val="2"/>
      </rPr>
      <t>MESA ANTIVIBRATORIA EN RESINA FENÓLICA PRENSADA A ALTAS TEMPERATURAS COLOR NEGRO.  REGRUESE EN LOS BORDES PARA MAYOR RIGIDEZ Y SALPICADERO. PROFUNDIDAD = 0,80. ESTRUCTURA INFERIOR METÁLICA. ESTRUCTURA EN “C” CON AMARRE SUPERIOR POR MEDIO DE CARTERAS, PARA OFRECER MAYOR ESTABILIDAD. PROFUNDIDAD = 0 ,50 M. SUPERFICIE EN QUIMIOTOP, BASES EN CONCRETO FUNDIDO CON ACABADO METALICO EN PINTURA EPOXICA ELECTROSTATICA.</t>
    </r>
  </si>
  <si>
    <r>
      <rPr>
        <sz val="6.5"/>
        <rFont val="Liberation Sans Narrow"/>
        <family val="2"/>
      </rPr>
      <t xml:space="preserve">MESON PERIMETRAL EN "L" EN RESINA FENOLICA PRENSADA COLOR NEGRO. RENGRUESE EN LOS BORDES Y SALPICADERO DE 10 cm.
</t>
    </r>
    <r>
      <rPr>
        <sz val="6.5"/>
        <rFont val="Liberation Sans Narrow"/>
        <family val="2"/>
      </rPr>
      <t xml:space="preserve">PERIMETRO=2,00m PROFUNDIDAD = 0 ,60 m. ESTRUCTURA INFERIOR METALICA ( HIERRO C.R.). POCETA PLASTICA 34x34x23cm, INCLUYE LLAVE REMOTA, GRIFERIA CUELLO DE CISNE FIJA.ESCURRIDERO PARA VIDRIERIA EN RESINA FENOLICA PRENSADA A ALTAS TEMPERATURAS. Medidas: 60x60cm.
</t>
    </r>
    <r>
      <rPr>
        <sz val="6.5"/>
        <rFont val="Liberation Sans Narrow"/>
        <family val="2"/>
      </rPr>
      <t>CANALETA EN ACERO INOX PARA DESAGUE Y MANGUERA.</t>
    </r>
  </si>
  <si>
    <r>
      <rPr>
        <b/>
        <sz val="8"/>
        <color rgb="FFFFFFFF"/>
        <rFont val="Liberation Sans Narrow"/>
        <family val="2"/>
      </rPr>
      <t>ANALISIS INSTRUMENTAL</t>
    </r>
  </si>
  <si>
    <r>
      <rPr>
        <sz val="6.5"/>
        <rFont val="Liberation Sans Narrow"/>
        <family val="2"/>
      </rPr>
      <t>ISLA DE TRABAJO CON SUPERFICIE EN RESINA FENÓLICA PRENSADA A  ALTAS TEMPERATURAS COLOR NEGRO.  REGRUESE EN LOS BORDES  SIN SALPICADERO. ANCHO = 1,50 M. LARGO= 8,00M . ESTRUCTURA INFERIOR METÁLICA HIERRO C.R., CON ACABADOS EN PINTURA ELECTROSTÁTICA AL AHORNO  ESTRUCTURA PARA MESONES ISLA CON AMARRE SUPERIOR Y SOPORTES INFERIORES. ANCHO= 1,50 M. 2 POCETA PLÁSTICA UBICADAS EN CADA EXTREMO. MEDIDAS: 34X34X23CM, INCLUYE: LLAVE REMOTA, GRIFERIA CUELLO DE CISNE FIJA. ESCURRIDERO PARA VIDRIERÍA EN RESINA FENÓLICA. MEDIDAS: 60X60CM. CUENTA CON CANALETA EN ACERO INOXIDABLE PARA DESAGÜE Y MANGUERA. 2 LLAVE REMOTA STD PARA GAS CON CÓDIGO COLOR. 2 LLAVE REMOTA STD PARA AGUA CON CÓDIGO COLOR. 2 POZUELO ESTANDAR DE 15 X 7 TIPO EXTRACTORA EN QUIMIOPLAST. 2 TOMA CORRIENTE 220 W. 6 TOMA CORRIENTE 11 0 W. 8 REPISA SUPERIOR PARA SERVICIOS. ANCHO = 0,3 M. FABRICADA EN LÁMINA METÁLICA CR PINTADA CON PINTURA ELECTROSTÁTICA COLOR GRIS. CANALETA DE 15 CM DE ALTO PARA SERVICIOS. NO INCLUYE: LAS CONEXIONES A LAS ACOMETIDAS. ALTURA TOTAL DE 75 CM.</t>
    </r>
  </si>
  <si>
    <r>
      <rPr>
        <sz val="6.5"/>
        <rFont val="Liberation Sans Narrow"/>
        <family val="2"/>
      </rPr>
      <t>MESON PERIMETRAL EN RESINA FENOLICA PRENSADA COLOR NEGRO. RENGRUESE EN LOS BORDES Y SALPICADERO DE 10 cm. PERIMETRO=2,00m PROFUNDIDAD = 0 ,60 m. ESTRUCTURA INFERIOR METALICA ( HIERRO C.R.). POCETA PLASTICA 34x34x23cm, INCLUYE LLAVE REMOTA, GRIFERIA CUELLO DE CISNE FIJA.ESCURRIDERO PARA VIDRIERIA EN RESINA FENOLICA PRENSADA A ALTAS TEMPERATURAS. Medidas: 60x60cm. CANALETA EN ACERO INOX PARA DESAGUE Y MANGUERA.</t>
    </r>
  </si>
  <si>
    <r>
      <rPr>
        <sz val="6.5"/>
        <rFont val="Liberation Sans Narrow"/>
        <family val="2"/>
      </rPr>
      <t xml:space="preserve">MESON PERIMETRAL EN "L" EN RESINA FENOLICA PRENSADA COLOR NEGRO. RENGRUESE EN LOS BORDES Y SALPICADERO DE 10 cm.
</t>
    </r>
    <r>
      <rPr>
        <sz val="6.5"/>
        <rFont val="Liberation Sans Narrow"/>
        <family val="2"/>
      </rPr>
      <t xml:space="preserve">PERIMETRO=2,50m PROFUNDIDAD = 2,5 m. ESTRUCTURA INFERIOR
</t>
    </r>
    <r>
      <rPr>
        <sz val="6.5"/>
        <rFont val="Liberation Sans Narrow"/>
        <family val="2"/>
      </rPr>
      <t>METALICA ( HIERRO C.R.)..</t>
    </r>
  </si>
  <si>
    <r>
      <rPr>
        <b/>
        <sz val="8"/>
        <color rgb="FFFFFFFF"/>
        <rFont val="Liberation Sans Narrow"/>
        <family val="2"/>
      </rPr>
      <t>MECANICA</t>
    </r>
  </si>
  <si>
    <r>
      <rPr>
        <sz val="6.5"/>
        <rFont val="Liberation Sans Narrow"/>
        <family val="2"/>
      </rPr>
      <t>MESON RECTO ELABORADO EN TABLEX DE 30 MM CON ENCHAPE EN FORMICA F8. ESTRUCTURA METALICA EN CR CL 18 TUBO CUADRADO DE 50MM CON PINTURA ELECTROSTATICA. MEDIDAS: 2,20 X 1,40. SIN ARCHIVADORES.</t>
    </r>
  </si>
  <si>
    <r>
      <rPr>
        <b/>
        <sz val="8"/>
        <color rgb="FFFFFFFF"/>
        <rFont val="Liberation Sans Narrow"/>
        <family val="2"/>
      </rPr>
      <t>ELECTRICIDAD</t>
    </r>
  </si>
  <si>
    <r>
      <rPr>
        <sz val="6.5"/>
        <rFont val="Liberation Sans Narrow"/>
        <family val="2"/>
      </rPr>
      <t>ESTANTES DE 1,00 X 2,00 X 50 ELABORADOS EN MADECORD DE 15 MM. CON ACCESORIOS CORRESPONDIENTES DE INSTALACIÓN.</t>
    </r>
  </si>
  <si>
    <t>SILLA FIJA EN POLIPROPILENO INYECTADO COLOR NEGRO.</t>
  </si>
  <si>
    <r>
      <rPr>
        <sz val="6.5"/>
        <rFont val="Liberation Sans Narrow"/>
        <family val="2"/>
      </rPr>
      <t>MESON RECTO ELABORADO EN TABLEX DE 30 MM CON ENCHAPE EN FORMICA F8ESTRUCTURA EN MDF CON ENCHAPE EN FORMICA F8. MEDIDAS: 2,20 X 1,40. SIN ARCHIVADORES.</t>
    </r>
  </si>
  <si>
    <r>
      <rPr>
        <b/>
        <sz val="8"/>
        <color rgb="FFFFFFFF"/>
        <rFont val="Liberation Sans Narrow"/>
        <family val="2"/>
      </rPr>
      <t>ALMACEN QUIMICA</t>
    </r>
  </si>
  <si>
    <r>
      <rPr>
        <sz val="6.5"/>
        <rFont val="Liberation Sans Narrow"/>
        <family val="2"/>
      </rPr>
      <t>ESTANTERIA METALICA  DE 1,20 X 60 X 2,00 EN LAMINA CR PARALES EN CAL 16 DE UÑA GRADUABLE Y BANDEJAS EN CAL 22 CON PINTURA ELECTROSTATICA.</t>
    </r>
  </si>
  <si>
    <r>
      <rPr>
        <sz val="6.5"/>
        <rFont val="Liberation Sans Narrow"/>
        <family val="2"/>
      </rPr>
      <t>MUEBLE METALICO EN LAMINA CR CAL 22 CON ACBADOS EN PINTURA ELECTROSTÁTICA, PUERTAS CON VIDRIO LAMINADO 2+2. DE 90 x 2,00 x 60</t>
    </r>
  </si>
  <si>
    <r>
      <rPr>
        <sz val="6.5"/>
        <rFont val="Liberation Sans Narrow"/>
        <family val="2"/>
      </rPr>
      <t>PUESTOS DE TRABAJO DE 1,20 X 60 CON SU RESPECTIVAS CAJONERAS COSTADO METALICO INCLUYE SUPERFICIE EN TABLEX DE 30MM CON FORMICA F8 Y FILOS EN CANTO RIGIDO.</t>
    </r>
  </si>
  <si>
    <r>
      <rPr>
        <sz val="6.5"/>
        <rFont val="Liberation Sans Narrow"/>
        <family val="2"/>
      </rPr>
      <t>MESON PERIMETRAL EN RESINA FENOLICA PRENSADA COLOR NEGRO. RENGRUESE EN LOS BORDES Y SALPICADERO DE 10 cm. PERIMETRO=4,50m PROFUNDIDAD = 0 ,60 m. ESTRUCTURA INFERIOR METALICA ( HIERRO C.R.)..</t>
    </r>
  </si>
  <si>
    <r>
      <rPr>
        <sz val="6.5"/>
        <rFont val="Liberation Sans Narrow"/>
        <family val="2"/>
      </rPr>
      <t>MESON PERIMETRAL EN RESINA FENOLICA PRENSADA COLOR NEGRO. RENGRUESE EN LOS BORDES Y SALPICADERO DE 10 cm. PERIMETRO=2,20m PROFUNDIDAD = 0 ,60 m. ESTRUCTURA INFERIOR METALICA ( HIERRO C.R.). POCETA PLASTICA 34x34x23cm, INCLUYE LLAVE REMOTA, GRIFERIA CUELLO DE CISNE FIJA.ESCURRIDERO PARA VIDRIERIA EN RESINA FENOLICA PRENSADA A ALTAS TEMPERATURAS. Medidas: 60x60cm. CANALETA EN ACERO INOX PARA DESAGUE Y MANGUERA.</t>
    </r>
  </si>
  <si>
    <r>
      <rPr>
        <sz val="6.5"/>
        <rFont val="Liberation Sans Narrow"/>
        <family val="2"/>
      </rPr>
      <t>GABINETE PARA ALMACENAMIENTO DE ACIDOS CORROSIVOS CON FILTRCION</t>
    </r>
  </si>
  <si>
    <r>
      <rPr>
        <b/>
        <sz val="8"/>
        <color rgb="FFFFFFFF"/>
        <rFont val="Liberation Sans Narrow"/>
        <family val="2"/>
      </rPr>
      <t>MICROBIOLOGIA</t>
    </r>
  </si>
  <si>
    <r>
      <rPr>
        <sz val="6.5"/>
        <rFont val="Liberation Sans Narrow"/>
        <family val="2"/>
      </rPr>
      <t>MESON PERIMETRALEN "L" EN RESINA FENOLICA PRENSADA COLOR NEGRO. RENGRUESE EN LOS BORDES Y SALPICADERO DE 10 cm. PERIMETRO=8,10m PROFUNDIDAD = 0 ,60 m. CON PERFORACIONES PARA CANECAS DE MANEJO DE RESIDUOS (NO INCLUIDAS) ESTRUCTURA INFERIOR METALICA ( HIERRO C.R.). POCETA PLASTICA 34x34x23cm, INCLUYE LLAVE REMOTA, GRIFERIA CUELLO DE CISNE FIJA.ESCURRIDERO PARA VIDRIERIA EN RESINA FENOLICA PRENSADA A ALTAS TEMPERATURAS. Medidas: 60x60cm. CANALETA EN ACERO INOX PARA DESAGUE Y MANGUERA.</t>
    </r>
  </si>
  <si>
    <r>
      <rPr>
        <sz val="6.5"/>
        <rFont val="Liberation Sans Narrow"/>
        <family val="2"/>
      </rPr>
      <t xml:space="preserve">MESON PERIMETRAL EN "L" EN RESINA FENOLICA PRENSADA COLOR NEGRO. RENGRUESE EN LOS BORDES Y SALPICADERO DE 10 cm.
</t>
    </r>
    <r>
      <rPr>
        <sz val="6.5"/>
        <rFont val="Liberation Sans Narrow"/>
        <family val="2"/>
      </rPr>
      <t xml:space="preserve">PERIMETRO=8,10m PROFUNDIDAD = 0 ,60 m. ESTRUCTURA INFERIOR METALICA ( HIERRO C.R.). POCETA PLASTICA 34x34x23cm, INCLUYE LLAVE REMOTA, GRIFERIA CUELLO DE CISNE FIJA. MODULO INFERIOR RODANTE EN TABLERO ESTRUCTURADO PARA LABORATORIOS, 3 CAJONES VERTICALES,
</t>
    </r>
    <r>
      <rPr>
        <sz val="6.5"/>
        <rFont val="Liberation Sans Narrow"/>
        <family val="2"/>
      </rPr>
      <t>MANIJAS EN ACERO INOX,  Profundidad= 50cm, ancho= 45 cm y altura 80cm. ESCURRIDERO PARA VIDRIERIA EN RESINA FENOLICA PRENSADA A ALTAS TEMPERATURAS. Medidas: 60x60cm. CANALETA EN ACERO INOX PARA DESAGUE Y MANGUERA.</t>
    </r>
  </si>
  <si>
    <r>
      <rPr>
        <sz val="6.5"/>
        <rFont val="Liberation Sans Narrow"/>
        <family val="2"/>
      </rPr>
      <t>ISLA DE TRABAJO CON SUPERFIICIE EN RESINA FENÓLICA PRENSADA A ALTAS TEMPERATURAS COLOR NEGRO.  CON REGRUESE EN LOS BORDES PARA MAYOR RIGIDEZ, PARA MESÓN ISLA, SIN SALPICADERO. ANCHO = 1,50 M LARGO=3,50M. ESTRUCTURA INFERIOR METÁLICA HIERRO C.R., CON ACABADOS EN PINTURA ELECTROSTÁTICA AL HORNO. ANCHO= 1,50 M. 1 POCETA PLÁSTIC EN UNO DE LOS EXTREMOS. MEDIDAS: 34X34X23CM, INCLUYE: LLAVE REMOTA, GRIFERIA CUELLO DE CISNE FIJA. ESCURRIDERO PARA VIDRIERÍA EN RESINA FENÓLICA MEDIDAS: 60X60CM.  CANALETA EN ACERO INOXIDABLE PARA DESAGÜE Y MANGUERA. 2 LLAVE REMOTA STD PARA GAS CON CÓDIGO COLOR. 2 LLAVE REMOTA ESTANDARD PARA AGUA CON CÓDIGO COLOR. 2 POZUELO ESTANDAR DE 15 X 7 TIPO EXTRACTORA EN QUIMIOPLAST. 2TOMA CORRIENTE 220 W. 6 TOMA CORRIENTE 11 0 W. 8 REPISAS SUPERIOR PARA SERVICIOS. ANCHO = 0,3 M. FABRICADA EN LÁMINA METÁLICA CR PINTADA CON PINTURA ELECTROSTÁTICA COLOR GRIS. CANALETA DE 15 CM DE ALTO PARA SERVICIOS.</t>
    </r>
  </si>
  <si>
    <r>
      <rPr>
        <b/>
        <sz val="8"/>
        <color rgb="FFFFFFFF"/>
        <rFont val="Liberation Sans Narrow"/>
        <family val="2"/>
      </rPr>
      <t>GENETICA</t>
    </r>
  </si>
  <si>
    <r>
      <rPr>
        <sz val="6.5"/>
        <rFont val="Liberation Sans Narrow"/>
        <family val="2"/>
      </rPr>
      <t xml:space="preserve">MESON PERIMETRAL EN "L" EN RESINA FENOLICA PRENSADA COLOR NEGRO. RENGRUESE EN LOS BORDES Y SALPICADERO DE 10 cm.
</t>
    </r>
    <r>
      <rPr>
        <sz val="6.5"/>
        <rFont val="Liberation Sans Narrow"/>
        <family val="2"/>
      </rPr>
      <t xml:space="preserve">PERIMETRO=7,70m PROFUNDIDAD = 0 ,60 m. ESTRUCTURA INFERIOR METALICA ( HIERRO C.R.). MODULO INFERIOR RODANTE EN TABLERO ESTRUCTURADO PARA LABORATORIOS, 3 CAJONES VERTICALES, MANIJAS
</t>
    </r>
    <r>
      <rPr>
        <sz val="6.5"/>
        <rFont val="Liberation Sans Narrow"/>
        <family val="2"/>
      </rPr>
      <t>EN ACERO INOX,  Profundidad= 50cm, ancho= 45 cm y altura 80cm.</t>
    </r>
  </si>
  <si>
    <r>
      <rPr>
        <sz val="6.5"/>
        <rFont val="Liberation Sans Narrow"/>
        <family val="2"/>
      </rPr>
      <t xml:space="preserve">MESON PERIMETRAL EN "L" EN RESINA FENOLICA PRENSADA COLOR NEGRO. RENGRUESE EN LOS BORDES Y SALPICADERO DE 10 cm.
</t>
    </r>
    <r>
      <rPr>
        <sz val="6.5"/>
        <rFont val="Liberation Sans Narrow"/>
        <family val="2"/>
      </rPr>
      <t xml:space="preserve">PERIMETRO=5,10m PROFUNDIDAD = 0 ,60 m. ESTRUCTURA INFERIOR
</t>
    </r>
    <r>
      <rPr>
        <sz val="6.5"/>
        <rFont val="Liberation Sans Narrow"/>
        <family val="2"/>
      </rPr>
      <t>METALICA ( HIERRO C.R.).</t>
    </r>
  </si>
  <si>
    <r>
      <rPr>
        <sz val="6.5"/>
        <rFont val="Liberation Sans Narrow"/>
        <family val="2"/>
      </rPr>
      <t xml:space="preserve">ISLA DE TRABAJO SEMICIRCULAR CON SUPERFICIE EN RESINA FENÓLICA PRENSADA A ALTAS TEMPERATURAS COLOR NEGRO.   REGRUESE EN LOS BORDES PARA MAYOR RIGIDEZ, PARA MESÓN ISLA, SIN SALPICADERO. ANCHO = 1,50M ESTRUCTURA INFERIOR METÁLICA DE HIERRO C.R., CON ACABADOS EN PINTURA ELECTROSTÁTICA AL AHORNO. 1 POCETA PLÁSTICA. MEDIDAS: 34X34X23CM, INCLUYE: LLAVE REMOTA, GRIFERIA CUELLO DE CISNE FIJA. ESCURRIDERO PARA VIDRIERÍA EN RESINA FENÓLICA. MEDIDAS: 60X60CM. CUENTA CON CANALETA EN ACERO INOXIDABLE PARA DESAGÜE Y MANGUERA.  1 LLAVE REMOTA STD PARA GAS CON CÓDIGO COLOR. 2 LLAVE REMOTA STD PARA AGUA CON CÓDIGO COLOR. 2 POZUELO ESTANDAR DE 15 X 7 TIPO EXTRACTORA EN QUIMIOPLAST MÁS LLAVE TIPO CUELLO DE CISNE. 1 TORREJA ELÉCTRICA (PARA 4 TOMAS). 2 TOMA CORRIENTE 220 W. 6 TOMA CORRIENTE 11 0 W. REPISA SUPERIOR PARA SERVICIOS. ANCHO = 0,3 M. FABRICADA EN LÁMINA METÁLICA CR PINTADA CON PINTURA ELECTROSTÁTICA COLOR GRIS. CANALETA DE 15 CM DE ALTO PARA
</t>
    </r>
    <r>
      <rPr>
        <sz val="6.5"/>
        <rFont val="Liberation Sans Narrow"/>
        <family val="2"/>
      </rPr>
      <t>SERVICIOS.</t>
    </r>
  </si>
  <si>
    <r>
      <rPr>
        <b/>
        <sz val="8"/>
        <color rgb="FFFFFFFF"/>
        <rFont val="Liberation Sans Narrow"/>
        <family val="2"/>
      </rPr>
      <t>FISICOQUIMICA</t>
    </r>
  </si>
  <si>
    <r>
      <rPr>
        <sz val="6.5"/>
        <rFont val="Liberation Sans Narrow"/>
        <family val="2"/>
      </rPr>
      <t xml:space="preserve">ISLA DE TRABAJO CON SUPERFIICIE EN RESINA FENÓLICA PRENSADA A ALTAS TEMPERATURAS COLOR NEGRO.  CON REGRUESE EN LOS BORDES PARA MAYOR RIGIDEZ, PARA MESÓN ISLA, SIN SALPICADERO. ANCHO = 1,50 M LARGO=5,20M. ESTRUCTURA INFERIOR METÁLICA HIERRO C.R., CON ACABADOS EN PINTURA ELECTROSTÁTICA AL HORNO. ANCHO= 1,50 M. 2 POCETAS PLÁSTICAS (UNA EN CADA UNO DE LOS EXTREMOS). MEDIDAS: 34X34X23CM, INCLUYE: LLAVE REMOTA, GRIFERIA CUELLO DE CISNE FIJA. ESCURRIDERO PARA VIDRIERÍA EN RESINA FENÓLICA MEDIDAS: 60X60CM. CANALETA EN ACERO INOXIDABLE PARA DESAGÜE Y MANGUERA. 2 LLAVE REMOTA STD PARA GAS CON CÓDIGO COLOR. 2 LLAVE REMOTA ESTANDARD PARA AGUA CON CÓDIGO COLOR. 2 POZUELO ESTANDAR DE 15 X 7 TIPO EXTRACTORA EN QUIMIOPLAST. 2TOMA CORRIENTE 220 W. 6 TOMA CORRIENTE 11 0 W. 8 REPISAS SUPERIOR PARA SERVICIOS. ANCHO = 0,3 M. FABRICADA EN LÁMINA METÁLICA CR PINTADA CON PINTURA ELECTROSTÁTICA COLOR GRIS. CANALETA DE 15 CM DE ALTO PARA
</t>
    </r>
    <r>
      <rPr>
        <sz val="6.5"/>
        <rFont val="Liberation Sans Narrow"/>
        <family val="2"/>
      </rPr>
      <t>SERVICIOS.</t>
    </r>
  </si>
  <si>
    <r>
      <rPr>
        <sz val="6.5"/>
        <rFont val="Liberation Sans Narrow"/>
        <family val="2"/>
      </rPr>
      <t xml:space="preserve">MESON PERIMETRALEN "L" EN RESINA FENOLICA PRENSADA COLOR NEGRO. RENGRUESE EN LOS BORDES Y SALPICADERO DE 10 cm. PERIMETRO=5,40m PROFUNDIDAD = 0 ,60 m. CON PERFORACIONES PARA CANECAS DE MANEJO DE RESIDUOS (NO INCLUIDAS) ESTRUCTURA INFERIOR METALICA ( HIERRO C.R.). POCETA PLASTICA 34x34x23cm, INCLUYE LLAVE REMOTA, GRIFERIA CUELLO DE CISNE FIJA.ESCURRIDERO PARA VIDRIERIA EN RESINA FENOLICA PRENSADA A ALTAS TEMPERATURAS. Medidas: 60x60cm. CANALETA EN ACERO
</t>
    </r>
    <r>
      <rPr>
        <sz val="6.5"/>
        <rFont val="Liberation Sans Narrow"/>
        <family val="2"/>
      </rPr>
      <t>INOX PARA DESAGUE Y MANGUERA.</t>
    </r>
  </si>
  <si>
    <r>
      <rPr>
        <sz val="6.5"/>
        <rFont val="Liberation Sans Narrow"/>
        <family val="2"/>
      </rPr>
      <t>MESON PERIMETRALEN EN RESINA FENOLICA PRENSADA COLOR NEGRO. RENGRUESE EN LOS BORDES Y SALPICADERO DE 10 cm. PERIMETRO=2,00m PROFUNDIDAD = 0 ,60 m. CON PERFORACIONES PARA CANECAS DE MANEJO DE RESIDUOS (NO INCLUIDAS) ESTRUCTURA INFERIOR METALICA ( HIERRO C.R.). POCETA PLASTICA 34x34x23cm, INCLUYE LLAVE REMOTA, GRIFERIA CUELLO DE CISNE FIJA.ESCURRIDERO PARA VIDRIERIA EN RESINA FENOLICA PRENSADA A ALTAS TEMPERATURAS. Medidas: 60x60cm. CANALETA EN ACERO INOX PARA DESAGUE Y MANGUERA.</t>
    </r>
  </si>
  <si>
    <r>
      <rPr>
        <b/>
        <sz val="8"/>
        <color rgb="FFFFFFFF"/>
        <rFont val="Liberation Sans Narrow"/>
        <family val="2"/>
      </rPr>
      <t>QUIMICA ANALITICA</t>
    </r>
  </si>
  <si>
    <r>
      <rPr>
        <sz val="6.5"/>
        <rFont val="Liberation Sans Narrow"/>
        <family val="2"/>
      </rPr>
      <t>ISLA DE TRABAJO CON SUPERFIICIE EN RESINA FENÓLICA PRENSADA A ALTAS TEMPERATURAS COLOR NEGRO.  CON REGRUESE EN LOS BORDES PARA MAYOR RIGIDEZ, PARA MESÓN ISLA, SIN SALPICADERO. ANCHO = 1,50 M LARGO=5,20M. ESTRUCTURA INFERIOR METÁLICA HIERRO C.R., CON ACABADOS EN PINTURA ELECTROSTÁTICA AL HORNO. ANCHO= 1,50 M. 2 POCETAS PLÁSTICAS (UNA EN CADA UNO DE LOS EXTREMOS).  MEDIDAS: 34X34X23CM, INCLUYE: LLAVE REMOTA, GRIFERIA CUELLO DE CISNE FIJA. ESCURRIDERO PARA VIDRIERÍA EN RESINA FENÓLICA MEDIDAS: 60X60CM. CANALETA EN ACERO INOXIDABLE PARA DESAGÜE Y MANGUERA. 2 LLAVE REMOTA STD PARA GAS CON CÓDIGO COLOR. 2 LLAVE REMOTA ESTANDARD PARA AGUA CON CÓDIGO COLOR. 2 POZUELO ESTANDAR DE 15 X 7 TIPO EXTRACTORA EN QUIMIOPLAST. 2 TOMA CORRIENTE 220 W. 6 TOMA CORRIENTE 11 0 W. 8 REPISAS SUPERIOR PARA SERVICIOS. ANCHO = 0,3 M. FABRICADA EN LÁMINA METÁLICA CR PINTADA CON PINTURA ELECTROSTÁTICA COLOR GRIS. CANALETA DE 15 CM DE ALTO PARA SERVICIOS.</t>
    </r>
  </si>
  <si>
    <r>
      <rPr>
        <sz val="6.5"/>
        <rFont val="Liberation Sans Narrow"/>
        <family val="2"/>
      </rPr>
      <t>MESON PERIMETRALEN EN RESINA FENOLICA PRENSADA COLOR NEGRO. RENGRUESE EN LOS BORDES Y SALPICADERO DE 10 cm. PERIMETRO=7,00m PROFUNDIDAD = 0 ,60 m. ESTRUCTURA INFERIOR METALICA ( HIERRO C.R.). POCETA PLASTICA 34x34x23cm, INCLUYE LLAVE REMOTA, GRIFERIA CUELLO DE CISNE FIJA. ESCURRIDERO PARA VIDRIERIA EN RESINA FENOLICA Medidas: 60x60cm. CANALETA EN ACERO INOX PARA DESAGUE Y MANGUERA.</t>
    </r>
  </si>
  <si>
    <r>
      <rPr>
        <sz val="6.5"/>
        <rFont val="Liberation Sans Narrow"/>
        <family val="2"/>
      </rPr>
      <t>MESON PERIMETRALEN EN RESINA FENOLICA PRENSADA COLOR NEGRO. RENGRUESE EN LOS BORDES Y SALPICADERO DE 10 cm. PERIMETRO=5,0m PROFUNDIDAD = 0 ,60 m. ESTRUCTURA INFERIOR METALICA ( HIERRO C.R.). POCETA PLASTICA 34x34x23cm, INCLUYE LLAVE REMOTA, GRIFERIA CUELLO DE CISNE FIJA. ESCURRIDERO PARA VIDRIERIA EN RESINA FENOLICA Medidas: 60x60cm. CANALETA EN ACERO INOX PARA DESAGUE Y MANGUERA.</t>
    </r>
  </si>
  <si>
    <r>
      <rPr>
        <sz val="6.5"/>
        <rFont val="Liberation Sans Narrow"/>
        <family val="2"/>
      </rPr>
      <t>MESON PERIMETRAL EN RESINA FENOLICA PRENSADA COLOR NEGRO. RENGRUESE EN LOS BORDES Y SALPICADERO DE 10 cm. PERIMETRO=5,00m PROFUNDIDAD = 0 ,60 m. ESTRUCTURA INFERIOR METALICA ( HIERRO C.R.).</t>
    </r>
  </si>
  <si>
    <r>
      <rPr>
        <sz val="6.5"/>
        <rFont val="Liberation Sans Narrow"/>
        <family val="2"/>
      </rPr>
      <t>MESA ANTIVIBRATORIA EN RESINA FENÓLICA PRENSADA A ALTAS TEMPERATURAS COLOR NEGRO.  REGRUESE EN LOS BORDES PARA MAYOR RIGIDEZ Y SALPICADERO. PROFUNDIDAD = 0,80.ESTRUCTURA INFERIOR METÁLICA. ESTRUCTURA EN “C” CON AMARRE SUPERIOR POR MEDIO DE CARTERAS, PARA OFRECER MAYOR ESTABILIDAD. PROFUNDIDAD = 0 ,50 M. SUPERFICIE EN QUIMIOTOP, BASES EN CONCRETO FUNDIDO CON ACABADO METALICO EN PINTURA EPOXICA ELECTROSTATICA.</t>
    </r>
  </si>
  <si>
    <r>
      <rPr>
        <sz val="6.5"/>
        <rFont val="Liberation Sans Narrow"/>
        <family val="2"/>
      </rPr>
      <t xml:space="preserve">SILLA FIJA ISOSCELES MALLA, ESPALDAR EN MARCO DE POLIPROPILENOS CON MALLA, ASIENTO EN ESPUMA DE ALTA DENSIDAD CON TAPIZ EN TELA TIPO MALLA, SIN BRAZOS ESTRUCTURA METALICA CON ACABADOS EN
</t>
    </r>
    <r>
      <rPr>
        <sz val="6.5"/>
        <rFont val="Liberation Sans Narrow"/>
        <family val="2"/>
      </rPr>
      <t>PINTURA ELECTROSTATICA. COLOR NEGRO.</t>
    </r>
  </si>
  <si>
    <r>
      <rPr>
        <sz val="6.5"/>
        <rFont val="Liberation Sans Narrow"/>
        <family val="2"/>
      </rPr>
      <t xml:space="preserve">ARMARIO PARA BATAS EN MADECORD DE 15 MM CON ENTREPAÑOS,
</t>
    </r>
    <r>
      <rPr>
        <sz val="6.5"/>
        <rFont val="Liberation Sans Narrow"/>
        <family val="2"/>
      </rPr>
      <t>PUERTAS ABATIBLES  Y CHAPA DE SEGURIDAD DE 2,20 X 1,50 X 50.</t>
    </r>
  </si>
  <si>
    <t xml:space="preserve">SILLA FIJA EN POLIPROPILENO INYECTADO COLOR NEGRO. </t>
  </si>
  <si>
    <r>
      <rPr>
        <b/>
        <sz val="8"/>
        <color rgb="FFFFFFFF"/>
        <rFont val="Liberation Sans Narrow"/>
        <family val="2"/>
      </rPr>
      <t>BIOLOGIA GENERAL 1</t>
    </r>
  </si>
  <si>
    <r>
      <rPr>
        <sz val="6.5"/>
        <rFont val="Liberation Sans Narrow"/>
        <family val="2"/>
      </rPr>
      <t>ISLA DE TRABAJO SEMICIRCULAR CON SUPERFICIE EN RESINA FENÓLICA PRENSADA A ALTAS TEMPERATURAS COLOR NEGRO.   REGRUESE EN LOS BORDES PARA MAYOR RIGIDEZ, PARA MESÓN ISLA, SIN SALPICADERO. ANCHO = 1,50M ESTRUCTURA INFERIOR METÁLICA DE HIERRO C.R., CON ACABADOS EN PINTURA ELECTROSTÁTICA AL AHORNO. 1 POCETA PLÁSTICA. MEDIDAS: 34X34X23CM, INCLUYE: LLAVE REMOTA, GRIFERIA CUELLO DE CISNE FIJA. ESCURRIDERO PARA VIDRIERÍA EN RESINA FENÓLICA. MEDIDAS: 60X60CM. CUENTA CON CANALETA EN ACERO INOXIDABLE PARA DESAGÜE Y MANGUERA.  1 LLAVE REMOTA STD PARA GAS CON CÓDIGO COLOR. 2 LLAVE REMOTA STD PARA AGUA CON CÓDIGO COLOR. 2 POZUELO ESTANDAR DE 15 X 7 TIPO EXTRACTORA EN QUIMIOPLAST MÁS LLAVE TIPO CUELLO DE CISNE. 1 TORREJA ELÉCTRICA (PARA 4 TOMAS). 2 TOMA CORRIENTE 220 W. 6 TOMA CORRIENTE 11 0 W. REPISA SUPERIOR PARA SERVICIOS. ANCHO = 0,3 M. FABRICADA EN LÁMINA METÁLICA CR PINTADA CON PINTURA ELECTROSTÁTICA COLOR GRIS. CANALETA DE 15 CM DE ALTO PARA SERVICIOS.</t>
    </r>
  </si>
  <si>
    <r>
      <rPr>
        <sz val="6.5"/>
        <rFont val="Liberation Sans Narrow"/>
        <family val="2"/>
      </rPr>
      <t xml:space="preserve">MESON PERIMETRAL EN "L" EN RESINA FENOLICA PRENSADA COLOR NEGRO. RENGRUESE EN LOS BORDES Y SALPICADERO DE 10 cm.
</t>
    </r>
    <r>
      <rPr>
        <sz val="6.5"/>
        <rFont val="Liberation Sans Narrow"/>
        <family val="2"/>
      </rPr>
      <t>PERIMETRO=6,50m PROFUNDIDAD = 0 ,60 m. ESTRUCTURA INFERIOR METALICA ( HIERRO C.R.).</t>
    </r>
  </si>
  <si>
    <r>
      <rPr>
        <sz val="6.5"/>
        <rFont val="Liberation Sans Narrow"/>
        <family val="2"/>
      </rPr>
      <t xml:space="preserve">MESON PERIMETRAL EN "L" EN RESINA FENOLICA PRENSADA COLOR NEGRO. RENGRUESE EN LOS BORDES Y SALPICADERO DE 10 cm.
</t>
    </r>
    <r>
      <rPr>
        <sz val="6.5"/>
        <rFont val="Liberation Sans Narrow"/>
        <family val="2"/>
      </rPr>
      <t xml:space="preserve">PERIMETRO=6,00m PROFUNDIDAD = 0 ,60 m. ESTRUCTURA INFERIOR
</t>
    </r>
    <r>
      <rPr>
        <sz val="6.5"/>
        <rFont val="Liberation Sans Narrow"/>
        <family val="2"/>
      </rPr>
      <t>METALICA ( HIERRO C.R.).</t>
    </r>
  </si>
  <si>
    <r>
      <rPr>
        <sz val="6.5"/>
        <rFont val="Liberation Sans Narrow"/>
        <family val="2"/>
      </rPr>
      <t>MESON PERIMETRALEN EN RESINA FENOLICA PRENSADA COLOR NEGRO. RENGRUESE EN LOS BORDES Y SALPICADERO DE 10 cm. PERIMETRO=3,30m PROFUNDIDAD = 0 ,60 m. ESTRUCTURA INFERIOR METALICA ( HIERRO C.R.). POCETA PLASTICA 34x34x23cm, INCLUYE LLAVE REMOTA, GRIFERIA CUELLO DE CISNE FIJA. ESCURRIDERO PARA VIDRIERIA EN RESINA FENOLICA Medidas: 60x60cm. CANALETA EN ACERO INOX PARA DESAGUE Y MANGUERA.</t>
    </r>
  </si>
  <si>
    <r>
      <rPr>
        <b/>
        <sz val="8"/>
        <color rgb="FFFFFFFF"/>
        <rFont val="Liberation Sans Narrow"/>
        <family val="2"/>
      </rPr>
      <t>BIOLOGIA GENERAL 2</t>
    </r>
  </si>
  <si>
    <r>
      <rPr>
        <sz val="6.5"/>
        <rFont val="Liberation Sans Narrow"/>
        <family val="2"/>
      </rPr>
      <t xml:space="preserve">MESON PERIMETRAL EN "L" EN RESINA FENOLICA PRENSADA COLOR NEGRO. RENGRUESE EN LOS BORDES Y SALPICADERO DE 10 cm.
</t>
    </r>
    <r>
      <rPr>
        <sz val="6.5"/>
        <rFont val="Liberation Sans Narrow"/>
        <family val="2"/>
      </rPr>
      <t xml:space="preserve">PERIMETRO=7,70m PROFUNDIDAD = 0 ,60 m. ESTRUCTURA INFERIOR
</t>
    </r>
    <r>
      <rPr>
        <sz val="6.5"/>
        <rFont val="Liberation Sans Narrow"/>
        <family val="2"/>
      </rPr>
      <t>METALICA ( HIERRO C.R.).</t>
    </r>
  </si>
  <si>
    <r>
      <rPr>
        <b/>
        <sz val="8"/>
        <color rgb="FFFFFFFF"/>
        <rFont val="Liberation Sans Narrow"/>
        <family val="2"/>
      </rPr>
      <t>QUIMICA GENERAL</t>
    </r>
  </si>
  <si>
    <r>
      <rPr>
        <sz val="6.5"/>
        <rFont val="Liberation Sans Narrow"/>
        <family val="2"/>
      </rPr>
      <t>MESON PERIMETRALEN "L" EN RESINA FENOLICA PRENSADA COLOR NEGRO. RENGRUESE EN LOS BORDES Y SALPICADERO DE 10 cm. PERIMETRO=9,00m PROFUNDIDAD = 0 ,60 m. ESTRUCTURA INFERIOR METALICA ( HIERRO C.R.). POCETA PLASTICA 34x34x23cm, INCLUYE LLAVE REMOTA, GRIFERIA CUELLO DE CISNE FIJA. ESCURRIDERO PARA VIDRIERIA EN RESINA FENOLICA PRENSADA A ALTAS TEMPERATURAS. Medidas: 60x60cm. CANALETA EN ACERO INOX PARA DESAGUE Y MANGUERA.</t>
    </r>
  </si>
  <si>
    <r>
      <rPr>
        <sz val="6.5"/>
        <rFont val="Liberation Sans Narrow"/>
        <family val="2"/>
      </rPr>
      <t>MESON PERIMETRAL EN EN RESINA FENOLICA PRENSADA COLOR NEGRO. RENGRUESE EN LOS BORDES Y SALPICADERO DE 10 cm. PERIMETRO=7,00m PROFUNDIDAD = 2,5 m. ESTRUCTURA INFERIOR METALICA ( HIERRO C.R.)..</t>
    </r>
  </si>
  <si>
    <r>
      <rPr>
        <sz val="6.5"/>
        <rFont val="Liberation Sans Narrow"/>
        <family val="2"/>
      </rPr>
      <t>MESON PERIMETRALEN EN RESINA FENOLICA PRENSADA COLOR NEGRO. RENGRUESE EN LOS BORDES Y SALPICADERO DE 10 cm. PERIMETRO=2,00m PROFUNDIDAD = 0 ,60 m. ESTRUCTURA INFERIOR METALICA ( HIERRO C.R.). POCETA PLASTICA 34x34x23cm, INCLUYE LLAVE REMOTA, GRIFERIA CUELLO DE CISNE FIJA. ESCURRIDERO PARA VIDRIERIA EN RESINA FENOLICA Medidas: 60x60cm. CANALETA EN ACERO INOX PARA DESAGUE Y MANGUERA.</t>
    </r>
  </si>
  <si>
    <r>
      <rPr>
        <b/>
        <sz val="8"/>
        <color rgb="FFFFFFFF"/>
        <rFont val="Liberation Sans Narrow"/>
        <family val="2"/>
      </rPr>
      <t>BIOQUIMICA</t>
    </r>
  </si>
  <si>
    <r>
      <rPr>
        <sz val="6.5"/>
        <rFont val="Liberation Sans Narrow"/>
        <family val="2"/>
      </rPr>
      <t>MESA ANTIVIBRATORIA INDEPENDIENTE STANDARD. CON SUPERFICIE EN QUIMIOTOP, BASES EN CONCRETO FUNDIDO CON ACABADO METALICO EN PINTURA EPOXICA ELECTROSTATICA. BARRA DE REFUERZO EN EL CENTRO PARA DARLE MAYOR ESTABILIDAD. (ANCHOXPROFUN.XALTO) 80 X 60 X 90 CM</t>
    </r>
  </si>
  <si>
    <r>
      <rPr>
        <sz val="6.5"/>
        <rFont val="Liberation Sans Narrow"/>
        <family val="2"/>
      </rPr>
      <t>MESON PERIMETRALEN EN RESINA FENOLICA PRENSADA COLOR NEGRO. RENGRUESE EN LOS BORDES Y SALPICADERO DE 10 cm. PERIMETRO=4,00m PROFUNDIDAD = 0 ,60 m. ESTRUCTURA INFERIOR METALICA ( HIERRO C.R.). POCETA PLASTICA 34x34x23cm, INCLUYE LLAVE REMOTA, GRIFERIA CUELLO DE CISNE FIJA. ESCURRIDERO PARA VIDRIERIA EN RESINA FENOLICA Medidas: 60x60cm. CANALETA EN ACERO INOX PARA DESAGUE Y MANGUERA.</t>
    </r>
  </si>
  <si>
    <r>
      <rPr>
        <sz val="6.5"/>
        <rFont val="Liberation Sans Narrow"/>
        <family val="2"/>
      </rPr>
      <t>MESON PERIMETRAL EN EN RESINA FENOLICA PRENSADA COLOR NEGRO. RENGRUESE EN LOS BORDES Y SALPICADERO DE 10 cm. PERIMETRO=3,00m PROFUNDIDAD = 2,5 m. ESTRUCTURA INFERIOR METALICA ( HIERRO C.R.)..</t>
    </r>
  </si>
  <si>
    <r>
      <rPr>
        <sz val="6.5"/>
        <rFont val="Liberation Sans Narrow"/>
        <family val="2"/>
      </rPr>
      <t>ISLA DE TRABAJO CON SUPERFICIE EN RESINA FENÓLICA PRENSADA A ALTAS TEMPERATURAS COLOR NEGRO. REGRUESE EN LOS BORDES PARA MAYOR RIGIDEZ, PARA MESÓN ISLA, SIN SALPICADERO. ANCHO = 1,50 M. ESTRUCTURA INFERIOR METÁLICA.  HIERRO C.R., CON ACABADOS EN PINTURA ELECTROSTÁTICA AL HORNO. 2 POCETA PLÁSTICA (UNICADA CADA UNA EN LOS EXTREMOS). MEDIDAS: 34X34X23CM, INCLUYE: LLAVE REMOTA, GRIFERIA CUELLO DE CISNE FIJA. ESCURRIDERO PARA VIDRIERÍA EN RESINA FENÓLICA. MEDIDAS: 60X60CM. CUENTA CON CANALETA EN ACERO INOXIDABLE PARA DESAGÜE Y MANGUERA. 2 LLAVE REMOTA ESTANDARD PARA GAS CON CÓDIGO COLOR. 2 LLAVE REMOTA ESTANDARD PARA AGUA CON CÓDIGO COLOR. 2 POZUELO ESTANDAR DE 15 X 7 TIPO EXTRACTORA EN QUIMIOPLAST. 2 TOMA CORRIENTE 220 W. 6 TOMA CORRIENTE 11 0 W. REPISA SUPERIOR PARA SERVICIOS. ANCHO = 0,3 M. FABRICADA EN LÁMINA METÁLICA CR PINTADA CON PINTURA ELECTROSTÁTICA COLOR GRIS. CANALETA DE 15 CM DE ALTO PARA SERVICIOS.</t>
    </r>
  </si>
  <si>
    <r>
      <rPr>
        <b/>
        <sz val="8"/>
        <color rgb="FFFFFFFF"/>
        <rFont val="Liberation Sans Narrow"/>
        <family val="2"/>
      </rPr>
      <t>TERMODINAMICA Y OPTICA</t>
    </r>
  </si>
  <si>
    <r>
      <rPr>
        <sz val="6.5"/>
        <rFont val="Liberation Sans Narrow"/>
        <family val="2"/>
      </rPr>
      <t>MESON RECTO ELABORADO EN TABLEX DE 30 MM CON ENCHAPE EN FORMICA F8. ESTRUCTURA METALICA EN CR CL 18 TUBO CUADRADO DE 50MM CON PINTURA ELECTROSTATICA. MEDIDAS: 1,80 X 1,40. SIN ARCHIVADORES.</t>
    </r>
  </si>
  <si>
    <t>AUDITORIO ASTRONOMICO</t>
  </si>
  <si>
    <r>
      <rPr>
        <sz val="6.5"/>
        <rFont val="Liberation Sans Narrow"/>
        <family val="2"/>
      </rPr>
      <t>PUESTO DE TRABAJO SENCILLO DE 1,50 X 60. SUPERFICIE EN TABLEX DE 30 MM CON ENCHAPE EN FORMICA F8. CON COSTADO METALICO SIN CAJONERA. COLOR A ELEGIR.</t>
    </r>
  </si>
  <si>
    <r>
      <rPr>
        <sz val="6.5"/>
        <rFont val="Liberation Sans Narrow"/>
        <family val="2"/>
      </rPr>
      <t>PUESTO DE TRABAJO DE 1,50 X 1,50. SUPERFICIE EN TABLEX DE 30 MM CON ENCHAPE EN FORMICA F8. CON COSTADO METALICO, CAJONERA Y FALDERO. COLOR A ELEGIR.</t>
    </r>
  </si>
  <si>
    <r>
      <rPr>
        <sz val="6.5"/>
        <rFont val="Liberation Sans Narrow"/>
        <family val="2"/>
      </rPr>
      <t>MESA DE JUNTAS DE 3,30 X 1,05 ELABORADA EN TABLEX DE 30 MM CON ENCHAPE EN FORMICA F8. ESTRUCTURA METALICA CON ACABADOS EN PINTURA ELECTROSTÁTICA. INCLUYE GROMMET PARA CONEXIÓN ELECTRICA Y DE DATOS. COLOR Y DISEÑOR A ELEGIR.</t>
    </r>
  </si>
  <si>
    <r>
      <rPr>
        <sz val="6.5"/>
        <rFont val="Liberation Sans Narrow"/>
        <family val="2"/>
      </rPr>
      <t>PIZARRON INTERACTIVO</t>
    </r>
  </si>
  <si>
    <r>
      <rPr>
        <sz val="6.5"/>
        <rFont val="Liberation Sans Narrow"/>
        <family val="2"/>
      </rPr>
      <t>SILLA OPERATIVA DUBAI, ESPALDA EN POLIPROPILENO CON MALLA, ASIENTO EN ESPUMA DE ALTA DENSIDAD CON TAPIZ EN TELA TIPO MALLA, BRAZO EN D, BASE DE CINCO ASPAS CROMADA RODACHINAS EN NYLON DE ALTA RESISTENCIA. MECANISMO NEUMATICO. COLOR</t>
    </r>
  </si>
  <si>
    <t>TRANSPORTE E INSTALACION</t>
  </si>
  <si>
    <r>
      <rPr>
        <b/>
        <sz val="10"/>
        <color rgb="FFFFFFFF"/>
        <rFont val="Liberation Sans Narrow"/>
        <family val="2"/>
      </rPr>
      <t>SUBTOTAL</t>
    </r>
  </si>
  <si>
    <r>
      <rPr>
        <b/>
        <sz val="8.5"/>
        <rFont val="Liberation Sans Narrow"/>
        <family val="2"/>
      </rPr>
      <t>IVA 19%</t>
    </r>
  </si>
  <si>
    <t>VALOR TOTAL MOBILIARIO</t>
  </si>
  <si>
    <t xml:space="preserve">VALOR TOTAL PROYECTO </t>
  </si>
  <si>
    <t>IVA SOBRE UTILIDAD</t>
  </si>
  <si>
    <t>18 meses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</si>
</sst>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6">
    <numFmt numFmtId="8" formatCode="&quot;$&quot;\ #,##0.00;[Red]\-&quot;$&quot;\ #,##0.00"/>
    <numFmt numFmtId="42" formatCode="_-&quot;$&quot;\ * #,##0_-;\-&quot;$&quot;\ * #,##0_-;_-&quot;$&quot;\ * &quot;-&quot;_-;_-@_-"/>
    <numFmt numFmtId="41" formatCode="_-* #,##0_-;\-* #,##0_-;_-* &quot;-&quot;_-;_-@_-"/>
    <numFmt numFmtId="44" formatCode="_-&quot;$&quot;\ * #,##0.00_-;\-&quot;$&quot;\ * #,##0.00_-;_-&quot;$&quot;\ * &quot;-&quot;??_-;_-@_-"/>
    <numFmt numFmtId="43" formatCode="_-* #,##0.00_-;\-* #,##0.00_-;_-* &quot;-&quot;??_-;_-@_-"/>
    <numFmt numFmtId="164" formatCode="&quot;$&quot;\ #,##0"/>
    <numFmt numFmtId="165" formatCode="_([$$-240A]\ * #,##0.00_);_([$$-240A]\ * \(#,##0.00\);_([$$-240A]\ * &quot;-&quot;??_);_(@_)"/>
    <numFmt numFmtId="166" formatCode="_(&quot;$&quot;\ * #,##0_);_(&quot;$&quot;\ * \(#,##0\);_(&quot;$&quot;\ * &quot;-&quot;??_);_(@_)"/>
    <numFmt numFmtId="167" formatCode="_(* #,##0.00_);_(* \(#,##0.00\);_(* &quot;-&quot;??_);_(@_)"/>
    <numFmt numFmtId="168" formatCode="#,##0.0"/>
    <numFmt numFmtId="169" formatCode="_-* #,##0.00\ &quot;pta&quot;_-;\-* #,##0.00\ &quot;pta&quot;_-;_-* &quot;-&quot;??\ &quot;pta&quot;_-;_-@_-"/>
    <numFmt numFmtId="170" formatCode="0.0"/>
    <numFmt numFmtId="171" formatCode="_-* #,##0.00\ _p_t_a_-;\-* #,##0.00\ _p_t_a_-;_-* &quot;-&quot;??\ _p_t_a_-;_-@_-"/>
    <numFmt numFmtId="172" formatCode="_-* #,##0.0000000_-;\-* #,##0.0000000_-;_-* &quot;-&quot;_-;_-@_-"/>
    <numFmt numFmtId="173" formatCode="\$\ #,##0"/>
    <numFmt numFmtId="174" formatCode="_-* #,##0.000000000_-;\-* #,##0.000000000_-;_-* &quot;-&quot;_-;_-@_-"/>
  </numFmts>
  <fonts count="45">
    <font>
      <sz val="11"/>
      <color theme="1"/>
      <name val="Calibri"/>
      <family val="2"/>
      <scheme val="minor"/>
    </font>
    <font>
      <sz val="11"/>
      <color theme="1"/>
      <name val="Calibri"/>
      <family val="2"/>
      <scheme val="minor"/>
    </font>
    <font>
      <b/>
      <sz val="11"/>
      <color theme="0"/>
      <name val="Calibri"/>
      <family val="2"/>
      <scheme val="minor"/>
    </font>
    <font>
      <sz val="11"/>
      <color rgb="FFFF0000"/>
      <name val="Calibri"/>
      <family val="2"/>
      <scheme val="minor"/>
    </font>
    <font>
      <sz val="11"/>
      <color theme="0"/>
      <name val="Calibri"/>
      <family val="2"/>
      <scheme val="minor"/>
    </font>
    <font>
      <b/>
      <sz val="20"/>
      <color theme="1"/>
      <name val="Century Gothic"/>
      <family val="2"/>
    </font>
    <font>
      <b/>
      <sz val="12"/>
      <color theme="1"/>
      <name val="Century Gothic"/>
      <family val="2"/>
    </font>
    <font>
      <b/>
      <sz val="10"/>
      <color theme="1"/>
      <name val="Century Gothic"/>
      <family val="2"/>
    </font>
    <font>
      <b/>
      <sz val="8"/>
      <color theme="1"/>
      <name val="Century Gothic"/>
      <family val="2"/>
    </font>
    <font>
      <sz val="10"/>
      <color rgb="FFFF0000"/>
      <name val="Arial Narrow"/>
      <family val="2"/>
    </font>
    <font>
      <sz val="10"/>
      <name val="Arial Narrow"/>
      <family val="2"/>
    </font>
    <font>
      <b/>
      <sz val="8"/>
      <color indexed="8"/>
      <name val="Century Gothic"/>
      <family val="2"/>
    </font>
    <font>
      <sz val="8"/>
      <color rgb="FFFF0000"/>
      <name val="Arial Narrow"/>
      <family val="2"/>
    </font>
    <font>
      <sz val="7"/>
      <color rgb="FFFF0000"/>
      <name val="Arial Narrow"/>
      <family val="2"/>
    </font>
    <font>
      <sz val="10"/>
      <name val="Arial"/>
      <family val="2"/>
    </font>
    <font>
      <b/>
      <sz val="8"/>
      <name val="Century Gothic"/>
      <family val="2"/>
    </font>
    <font>
      <b/>
      <sz val="9"/>
      <name val="Century Gothic"/>
      <family val="2"/>
    </font>
    <font>
      <sz val="8"/>
      <name val="Century Gothic"/>
      <family val="2"/>
    </font>
    <font>
      <sz val="8"/>
      <color theme="1"/>
      <name val="Century Gothic"/>
      <family val="2"/>
    </font>
    <font>
      <b/>
      <sz val="8"/>
      <color rgb="FF025215"/>
      <name val="Century Gothic"/>
      <family val="2"/>
    </font>
    <font>
      <sz val="8"/>
      <color rgb="FF974706"/>
      <name val="Century Gothic"/>
      <family val="2"/>
    </font>
    <font>
      <sz val="8"/>
      <color theme="9" tint="-0.499984740745262"/>
      <name val="Century Gothic"/>
      <family val="2"/>
    </font>
    <font>
      <b/>
      <sz val="8"/>
      <color theme="9" tint="-0.499984740745262"/>
      <name val="Century Gothic"/>
      <family val="2"/>
    </font>
    <font>
      <sz val="8"/>
      <color rgb="FF000000"/>
      <name val="Century Gothic"/>
      <family val="2"/>
    </font>
    <font>
      <sz val="8"/>
      <color rgb="FF025215"/>
      <name val="Century Gothic"/>
      <family val="2"/>
    </font>
    <font>
      <sz val="8"/>
      <color rgb="FFFF0000"/>
      <name val="Century Gothic"/>
      <family val="2"/>
    </font>
    <font>
      <sz val="11"/>
      <name val="Calibri"/>
      <family val="2"/>
      <scheme val="minor"/>
    </font>
    <font>
      <sz val="8"/>
      <color indexed="8"/>
      <name val="Century Gothic"/>
      <family val="2"/>
    </font>
    <font>
      <sz val="11"/>
      <color indexed="8"/>
      <name val="Calibri"/>
      <family val="2"/>
    </font>
    <font>
      <b/>
      <sz val="8"/>
      <name val="Liberation Sans Narrow"/>
    </font>
    <font>
      <b/>
      <sz val="8"/>
      <color rgb="FFFFFFFF"/>
      <name val="Liberation Sans Narrow"/>
      <family val="2"/>
    </font>
    <font>
      <sz val="8.5"/>
      <color rgb="FF000000"/>
      <name val="Liberation Sans Narrow"/>
      <family val="2"/>
    </font>
    <font>
      <sz val="6.5"/>
      <name val="Liberation Sans Narrow"/>
    </font>
    <font>
      <sz val="6.5"/>
      <name val="Liberation Sans Narrow"/>
      <family val="2"/>
    </font>
    <font>
      <sz val="8"/>
      <name val="Liberation Sans Narrow"/>
    </font>
    <font>
      <sz val="8"/>
      <name val="Liberation Sans Narrow"/>
      <family val="2"/>
    </font>
    <font>
      <sz val="8"/>
      <color rgb="FF000000"/>
      <name val="Liberation Sans Narrow"/>
      <family val="2"/>
    </font>
    <font>
      <b/>
      <sz val="6.5"/>
      <name val="Liberation Sans Narrow"/>
      <family val="2"/>
    </font>
    <font>
      <b/>
      <sz val="8"/>
      <color theme="0"/>
      <name val="Liberation Sans Narrow"/>
    </font>
    <font>
      <b/>
      <sz val="10"/>
      <name val="Liberation Sans Narrow"/>
    </font>
    <font>
      <b/>
      <sz val="10"/>
      <color rgb="FFFFFFFF"/>
      <name val="Liberation Sans Narrow"/>
      <family val="2"/>
    </font>
    <font>
      <b/>
      <sz val="8.5"/>
      <name val="Liberation Sans Narrow"/>
    </font>
    <font>
      <b/>
      <sz val="8.5"/>
      <name val="Liberation Sans Narrow"/>
      <family val="2"/>
    </font>
    <font>
      <b/>
      <sz val="8"/>
      <color rgb="FF000000"/>
      <name val="Liberation Sans Narrow"/>
      <family val="2"/>
    </font>
    <font>
      <b/>
      <sz val="10"/>
      <color theme="0"/>
      <name val="Liberation Sans Narrow"/>
    </font>
  </fonts>
  <fills count="12">
    <fill>
      <patternFill patternType="none"/>
    </fill>
    <fill>
      <patternFill patternType="gray125"/>
    </fill>
    <fill>
      <patternFill patternType="solid">
        <fgColor theme="0"/>
        <bgColor indexed="64"/>
      </patternFill>
    </fill>
    <fill>
      <patternFill patternType="solid">
        <fgColor rgb="FF64C06F"/>
        <bgColor indexed="64"/>
      </patternFill>
    </fill>
    <fill>
      <patternFill patternType="solid">
        <fgColor theme="2"/>
        <bgColor indexed="64"/>
      </patternFill>
    </fill>
    <fill>
      <patternFill patternType="solid">
        <fgColor rgb="FFEEECE1"/>
        <bgColor indexed="64"/>
      </patternFill>
    </fill>
    <fill>
      <patternFill patternType="solid">
        <fgColor rgb="FFFFFFFF"/>
        <bgColor indexed="64"/>
      </patternFill>
    </fill>
    <fill>
      <patternFill patternType="solid">
        <fgColor theme="6" tint="0.79998168889431442"/>
        <bgColor indexed="64"/>
      </patternFill>
    </fill>
    <fill>
      <patternFill patternType="solid">
        <fgColor rgb="FFEBF1DE"/>
        <bgColor indexed="64"/>
      </patternFill>
    </fill>
    <fill>
      <patternFill patternType="solid">
        <fgColor theme="0" tint="-0.14999847407452621"/>
        <bgColor indexed="64"/>
      </patternFill>
    </fill>
    <fill>
      <patternFill patternType="solid">
        <fgColor rgb="FFFFFF00"/>
        <bgColor indexed="64"/>
      </patternFill>
    </fill>
    <fill>
      <patternFill patternType="solid">
        <fgColor rgb="FF45A157"/>
        <bgColor indexed="64"/>
      </patternFill>
    </fill>
  </fills>
  <borders count="67">
    <border>
      <left/>
      <right/>
      <top/>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style="thin">
        <color indexed="64"/>
      </bottom>
      <diagonal/>
    </border>
    <border>
      <left/>
      <right style="thin">
        <color auto="1"/>
      </right>
      <top style="thin">
        <color auto="1"/>
      </top>
      <bottom style="thin">
        <color indexed="64"/>
      </bottom>
      <diagonal/>
    </border>
    <border>
      <left style="thin">
        <color auto="1"/>
      </left>
      <right/>
      <top style="thin">
        <color auto="1"/>
      </top>
      <bottom/>
      <diagonal/>
    </border>
    <border>
      <left style="medium">
        <color indexed="64"/>
      </left>
      <right/>
      <top style="thin">
        <color indexed="64"/>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thin">
        <color indexed="64"/>
      </top>
      <bottom/>
      <diagonal/>
    </border>
    <border>
      <left/>
      <right/>
      <top style="thin">
        <color auto="1"/>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rgb="FF000000"/>
      </right>
      <top style="medium">
        <color indexed="64"/>
      </top>
      <bottom style="thin">
        <color rgb="FF000000"/>
      </bottom>
      <diagonal/>
    </border>
    <border>
      <left style="thin">
        <color rgb="FF000000"/>
      </left>
      <right/>
      <top style="medium">
        <color indexed="64"/>
      </top>
      <bottom style="thin">
        <color rgb="FF000000"/>
      </bottom>
      <diagonal/>
    </border>
    <border>
      <left/>
      <right/>
      <top style="medium">
        <color indexed="64"/>
      </top>
      <bottom style="thin">
        <color rgb="FF000000"/>
      </bottom>
      <diagonal/>
    </border>
    <border>
      <left style="thin">
        <color rgb="FF000000"/>
      </left>
      <right style="thin">
        <color rgb="FF000000"/>
      </right>
      <top style="medium">
        <color indexed="64"/>
      </top>
      <bottom style="thin">
        <color rgb="FF000000"/>
      </bottom>
      <diagonal/>
    </border>
    <border>
      <left style="thin">
        <color rgb="FF000000"/>
      </left>
      <right style="medium">
        <color indexed="64"/>
      </right>
      <top style="medium">
        <color indexed="64"/>
      </top>
      <bottom style="thin">
        <color rgb="FF000000"/>
      </bottom>
      <diagonal/>
    </border>
    <border>
      <left style="medium">
        <color indexed="64"/>
      </left>
      <right/>
      <top style="thin">
        <color rgb="FF000000"/>
      </top>
      <bottom style="thin">
        <color rgb="FF000000"/>
      </bottom>
      <diagonal/>
    </border>
    <border>
      <left/>
      <right/>
      <top style="thin">
        <color rgb="FF000000"/>
      </top>
      <bottom style="thin">
        <color rgb="FF000000"/>
      </bottom>
      <diagonal/>
    </border>
    <border>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medium">
        <color indexed="64"/>
      </right>
      <top style="thin">
        <color rgb="FF000000"/>
      </top>
      <bottom style="thin">
        <color rgb="FF000000"/>
      </bottom>
      <diagonal/>
    </border>
    <border>
      <left style="medium">
        <color indexed="64"/>
      </left>
      <right style="thin">
        <color rgb="FF000000"/>
      </right>
      <top style="thin">
        <color rgb="FF000000"/>
      </top>
      <bottom style="thin">
        <color rgb="FF2E0070"/>
      </bottom>
      <diagonal/>
    </border>
    <border>
      <left style="thin">
        <color rgb="FF000000"/>
      </left>
      <right style="thin">
        <color rgb="FF000000"/>
      </right>
      <top style="thin">
        <color rgb="FF000000"/>
      </top>
      <bottom style="thin">
        <color rgb="FF2E0070"/>
      </bottom>
      <diagonal/>
    </border>
    <border>
      <left style="thin">
        <color rgb="FF000000"/>
      </left>
      <right style="medium">
        <color indexed="64"/>
      </right>
      <top style="thin">
        <color rgb="FF000000"/>
      </top>
      <bottom style="thin">
        <color rgb="FF2E0070"/>
      </bottom>
      <diagonal/>
    </border>
    <border>
      <left style="medium">
        <color indexed="64"/>
      </left>
      <right style="thin">
        <color rgb="FF000000"/>
      </right>
      <top style="thin">
        <color rgb="FF2E0070"/>
      </top>
      <bottom style="thin">
        <color rgb="FF000000"/>
      </bottom>
      <diagonal/>
    </border>
    <border>
      <left style="thin">
        <color rgb="FF000000"/>
      </left>
      <right style="thin">
        <color rgb="FF000000"/>
      </right>
      <top style="thin">
        <color rgb="FF2E0070"/>
      </top>
      <bottom style="thin">
        <color rgb="FF000000"/>
      </bottom>
      <diagonal/>
    </border>
    <border>
      <left style="thin">
        <color rgb="FF000000"/>
      </left>
      <right style="medium">
        <color indexed="64"/>
      </right>
      <top style="thin">
        <color rgb="FF2E0070"/>
      </top>
      <bottom style="thin">
        <color rgb="FF000000"/>
      </bottom>
      <diagonal/>
    </border>
    <border>
      <left style="medium">
        <color indexed="64"/>
      </left>
      <right/>
      <top style="thin">
        <color rgb="FF000000"/>
      </top>
      <bottom/>
      <diagonal/>
    </border>
    <border>
      <left/>
      <right/>
      <top style="thin">
        <color rgb="FF000000"/>
      </top>
      <bottom/>
      <diagonal/>
    </border>
    <border>
      <left/>
      <right style="medium">
        <color indexed="64"/>
      </right>
      <top style="thin">
        <color rgb="FF000000"/>
      </top>
      <bottom/>
      <diagonal/>
    </border>
    <border>
      <left/>
      <right style="thin">
        <color rgb="FF000000"/>
      </right>
      <top style="medium">
        <color indexed="64"/>
      </top>
      <bottom/>
      <diagonal/>
    </border>
    <border>
      <left style="thin">
        <color rgb="FF000000"/>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rgb="FF000000"/>
      </right>
      <top style="medium">
        <color indexed="64"/>
      </top>
      <bottom style="medium">
        <color indexed="64"/>
      </bottom>
      <diagonal/>
    </border>
    <border>
      <left style="thin">
        <color rgb="FF000000"/>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s>
  <cellStyleXfs count="12">
    <xf numFmtId="0" fontId="0" fillId="0" borderId="0"/>
    <xf numFmtId="43" fontId="1" fillId="0" borderId="0" applyFont="0" applyFill="0" applyBorder="0" applyAlignment="0" applyProtection="0"/>
    <xf numFmtId="41" fontId="1" fillId="0" borderId="0" applyFont="0" applyFill="0" applyBorder="0" applyAlignment="0" applyProtection="0"/>
    <xf numFmtId="42" fontId="1" fillId="0" borderId="0" applyFont="0" applyFill="0" applyBorder="0" applyAlignment="0" applyProtection="0"/>
    <xf numFmtId="9" fontId="1" fillId="0" borderId="0" applyFont="0" applyFill="0" applyBorder="0" applyAlignment="0" applyProtection="0"/>
    <xf numFmtId="0" fontId="14" fillId="0" borderId="0"/>
    <xf numFmtId="167" fontId="1" fillId="0" borderId="0" applyFont="0" applyFill="0" applyBorder="0" applyAlignment="0" applyProtection="0"/>
    <xf numFmtId="169" fontId="14" fillId="0" borderId="0" applyFont="0" applyFill="0" applyBorder="0" applyAlignment="0" applyProtection="0"/>
    <xf numFmtId="0" fontId="14" fillId="0" borderId="0"/>
    <xf numFmtId="169" fontId="14" fillId="0" borderId="0" applyFont="0" applyFill="0" applyBorder="0" applyAlignment="0" applyProtection="0"/>
    <xf numFmtId="171" fontId="14" fillId="0" borderId="0" applyFont="0" applyFill="0" applyBorder="0" applyAlignment="0" applyProtection="0"/>
    <xf numFmtId="0" fontId="28" fillId="0" borderId="0"/>
  </cellStyleXfs>
  <cellXfs count="284">
    <xf numFmtId="0" fontId="0" fillId="0" borderId="0" xfId="0"/>
    <xf numFmtId="0" fontId="0" fillId="2" borderId="0" xfId="0" applyFill="1"/>
    <xf numFmtId="164" fontId="0" fillId="2" borderId="0" xfId="3" applyNumberFormat="1" applyFont="1" applyFill="1"/>
    <xf numFmtId="0" fontId="0" fillId="2" borderId="0" xfId="0" applyFill="1" applyAlignment="1">
      <alignment vertical="center"/>
    </xf>
    <xf numFmtId="0" fontId="3" fillId="2" borderId="0" xfId="0" applyFont="1" applyFill="1"/>
    <xf numFmtId="4" fontId="5" fillId="2" borderId="1" xfId="0" applyNumberFormat="1" applyFont="1" applyFill="1" applyBorder="1" applyAlignment="1">
      <alignment horizontal="center" wrapText="1"/>
    </xf>
    <xf numFmtId="4" fontId="5" fillId="2" borderId="2" xfId="0" applyNumberFormat="1" applyFont="1" applyFill="1" applyBorder="1" applyAlignment="1">
      <alignment horizontal="center" wrapText="1"/>
    </xf>
    <xf numFmtId="4" fontId="5" fillId="2" borderId="3" xfId="0" applyNumberFormat="1" applyFont="1" applyFill="1" applyBorder="1" applyAlignment="1">
      <alignment horizontal="center" wrapText="1"/>
    </xf>
    <xf numFmtId="49" fontId="6" fillId="2" borderId="4" xfId="0" applyNumberFormat="1" applyFont="1" applyFill="1" applyBorder="1" applyAlignment="1">
      <alignment horizontal="left" vertical="center" wrapText="1" indent="18" readingOrder="1"/>
    </xf>
    <xf numFmtId="49" fontId="6" fillId="2" borderId="2" xfId="0" applyNumberFormat="1" applyFont="1" applyFill="1" applyBorder="1" applyAlignment="1">
      <alignment horizontal="left" vertical="center" wrapText="1" indent="18" readingOrder="1"/>
    </xf>
    <xf numFmtId="49" fontId="6" fillId="2" borderId="5" xfId="0" applyNumberFormat="1" applyFont="1" applyFill="1" applyBorder="1" applyAlignment="1">
      <alignment horizontal="left" vertical="center" wrapText="1" indent="18" readingOrder="1"/>
    </xf>
    <xf numFmtId="4" fontId="6" fillId="2" borderId="6" xfId="0" applyNumberFormat="1" applyFont="1" applyFill="1" applyBorder="1" applyAlignment="1">
      <alignment horizontal="center" vertical="center" wrapText="1"/>
    </xf>
    <xf numFmtId="4" fontId="6" fillId="2" borderId="0" xfId="0" applyNumberFormat="1" applyFont="1" applyFill="1" applyAlignment="1">
      <alignment horizontal="center" vertical="center" wrapText="1"/>
    </xf>
    <xf numFmtId="4" fontId="6" fillId="2" borderId="7" xfId="0" applyNumberFormat="1" applyFont="1" applyFill="1" applyBorder="1" applyAlignment="1">
      <alignment horizontal="center" vertical="center" wrapText="1"/>
    </xf>
    <xf numFmtId="49" fontId="6" fillId="2" borderId="8" xfId="0" applyNumberFormat="1" applyFont="1" applyFill="1" applyBorder="1" applyAlignment="1">
      <alignment horizontal="left" vertical="center" wrapText="1" indent="18" readingOrder="1"/>
    </xf>
    <xf numFmtId="49" fontId="6" fillId="2" borderId="9" xfId="0" applyNumberFormat="1" applyFont="1" applyFill="1" applyBorder="1" applyAlignment="1">
      <alignment horizontal="left" vertical="center" wrapText="1" indent="18" readingOrder="1"/>
    </xf>
    <xf numFmtId="49" fontId="6" fillId="2" borderId="10" xfId="0" applyNumberFormat="1" applyFont="1" applyFill="1" applyBorder="1" applyAlignment="1">
      <alignment horizontal="left" vertical="center" wrapText="1" indent="18" readingOrder="1"/>
    </xf>
    <xf numFmtId="164" fontId="7" fillId="2" borderId="11" xfId="3" applyNumberFormat="1" applyFont="1" applyFill="1" applyBorder="1" applyAlignment="1">
      <alignment horizontal="center" vertical="center" wrapText="1"/>
    </xf>
    <xf numFmtId="165" fontId="7" fillId="2" borderId="12" xfId="0" applyNumberFormat="1" applyFont="1" applyFill="1" applyBorder="1" applyAlignment="1">
      <alignment horizontal="center" vertical="center" wrapText="1"/>
    </xf>
    <xf numFmtId="4" fontId="6" fillId="2" borderId="13" xfId="0" applyNumberFormat="1" applyFont="1" applyFill="1" applyBorder="1" applyAlignment="1">
      <alignment horizontal="center" vertical="center" wrapText="1"/>
    </xf>
    <xf numFmtId="4" fontId="6" fillId="2" borderId="14" xfId="0" applyNumberFormat="1" applyFont="1" applyFill="1" applyBorder="1" applyAlignment="1">
      <alignment horizontal="center" vertical="center" wrapText="1"/>
    </xf>
    <xf numFmtId="4" fontId="6" fillId="2" borderId="15" xfId="0" applyNumberFormat="1" applyFont="1" applyFill="1" applyBorder="1" applyAlignment="1">
      <alignment horizontal="center" vertical="center" wrapText="1"/>
    </xf>
    <xf numFmtId="164" fontId="8" fillId="2" borderId="16" xfId="3" applyNumberFormat="1" applyFont="1" applyFill="1" applyBorder="1" applyAlignment="1">
      <alignment vertical="center" wrapText="1"/>
    </xf>
    <xf numFmtId="164" fontId="8" fillId="2" borderId="16" xfId="3" applyNumberFormat="1" applyFont="1" applyFill="1" applyBorder="1" applyAlignment="1">
      <alignment horizontal="center" vertical="center" wrapText="1"/>
    </xf>
    <xf numFmtId="165" fontId="8" fillId="2" borderId="17" xfId="0" applyNumberFormat="1" applyFont="1" applyFill="1" applyBorder="1" applyAlignment="1">
      <alignment horizontal="center" vertical="center" wrapText="1"/>
    </xf>
    <xf numFmtId="0" fontId="9" fillId="2" borderId="0" xfId="0" applyFont="1" applyFill="1"/>
    <xf numFmtId="3" fontId="3" fillId="2" borderId="0" xfId="0" applyNumberFormat="1" applyFont="1" applyFill="1"/>
    <xf numFmtId="0" fontId="10" fillId="3" borderId="1" xfId="0" applyFont="1" applyFill="1" applyBorder="1" applyAlignment="1">
      <alignment horizontal="center"/>
    </xf>
    <xf numFmtId="0" fontId="10" fillId="3" borderId="2" xfId="0" applyFont="1" applyFill="1" applyBorder="1" applyAlignment="1">
      <alignment horizontal="center"/>
    </xf>
    <xf numFmtId="0" fontId="10" fillId="3" borderId="5" xfId="0" applyFont="1" applyFill="1" applyBorder="1" applyAlignment="1">
      <alignment horizontal="center"/>
    </xf>
    <xf numFmtId="164" fontId="3" fillId="2" borderId="0" xfId="0" applyNumberFormat="1" applyFont="1" applyFill="1"/>
    <xf numFmtId="0" fontId="11" fillId="3" borderId="18" xfId="0" applyFont="1" applyFill="1" applyBorder="1" applyAlignment="1">
      <alignment horizontal="center" vertical="center"/>
    </xf>
    <xf numFmtId="0" fontId="11" fillId="3"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2" fillId="2" borderId="0" xfId="0" applyFont="1" applyFill="1"/>
    <xf numFmtId="0" fontId="11" fillId="3" borderId="21" xfId="0" applyFont="1" applyFill="1" applyBorder="1" applyAlignment="1">
      <alignment horizontal="center" vertical="center"/>
    </xf>
    <xf numFmtId="0" fontId="11" fillId="3" borderId="16" xfId="0" applyFont="1" applyFill="1" applyBorder="1" applyAlignment="1">
      <alignment horizontal="center" vertical="center" wrapText="1"/>
    </xf>
    <xf numFmtId="0" fontId="11" fillId="3" borderId="16" xfId="0" applyFont="1" applyFill="1" applyBorder="1" applyAlignment="1">
      <alignment horizontal="center" vertical="center" wrapText="1"/>
    </xf>
    <xf numFmtId="164" fontId="11" fillId="3" borderId="16" xfId="3" applyNumberFormat="1" applyFont="1" applyFill="1" applyBorder="1" applyAlignment="1">
      <alignment horizontal="center" vertical="center" wrapText="1"/>
    </xf>
    <xf numFmtId="166" fontId="11" fillId="3" borderId="17" xfId="0" applyNumberFormat="1" applyFont="1" applyFill="1" applyBorder="1" applyAlignment="1">
      <alignment horizontal="center" vertical="center" wrapText="1"/>
    </xf>
    <xf numFmtId="0" fontId="13" fillId="2" borderId="0" xfId="0" applyFont="1" applyFill="1" applyAlignment="1">
      <alignment horizontal="center" vertical="top"/>
    </xf>
    <xf numFmtId="3" fontId="15" fillId="4" borderId="22" xfId="5" applyNumberFormat="1" applyFont="1" applyFill="1" applyBorder="1" applyAlignment="1">
      <alignment horizontal="center" vertical="center"/>
    </xf>
    <xf numFmtId="0" fontId="15" fillId="4" borderId="11" xfId="5" applyFont="1" applyFill="1" applyBorder="1" applyAlignment="1">
      <alignment horizontal="justify" vertical="center" wrapText="1"/>
    </xf>
    <xf numFmtId="0" fontId="15" fillId="4" borderId="23" xfId="5" applyFont="1" applyFill="1" applyBorder="1" applyAlignment="1">
      <alignment vertical="center" wrapText="1"/>
    </xf>
    <xf numFmtId="168" fontId="15" fillId="4" borderId="11" xfId="6" applyNumberFormat="1" applyFont="1" applyFill="1" applyBorder="1" applyAlignment="1" applyProtection="1">
      <alignment vertical="center" wrapText="1"/>
    </xf>
    <xf numFmtId="164" fontId="15" fillId="4" borderId="11" xfId="3" applyNumberFormat="1" applyFont="1" applyFill="1" applyBorder="1" applyAlignment="1" applyProtection="1">
      <alignment vertical="center" wrapText="1"/>
    </xf>
    <xf numFmtId="164" fontId="15" fillId="4" borderId="19" xfId="3" applyNumberFormat="1" applyFont="1" applyFill="1" applyBorder="1" applyAlignment="1" applyProtection="1">
      <alignment vertical="center" wrapText="1"/>
    </xf>
    <xf numFmtId="41" fontId="16" fillId="4" borderId="12" xfId="2" applyFont="1" applyFill="1" applyBorder="1" applyAlignment="1">
      <alignment horizontal="center" vertical="center"/>
    </xf>
    <xf numFmtId="168" fontId="17" fillId="0" borderId="22" xfId="5" applyNumberFormat="1" applyFont="1" applyBorder="1" applyAlignment="1">
      <alignment horizontal="center" vertical="center"/>
    </xf>
    <xf numFmtId="0" fontId="17" fillId="0" borderId="24" xfId="5" applyFont="1" applyBorder="1" applyAlignment="1">
      <alignment horizontal="justify" vertical="center" wrapText="1"/>
    </xf>
    <xf numFmtId="0" fontId="18" fillId="0" borderId="11" xfId="0" applyFont="1" applyBorder="1" applyAlignment="1">
      <alignment horizontal="center" vertical="center"/>
    </xf>
    <xf numFmtId="4" fontId="17" fillId="0" borderId="25" xfId="6" applyNumberFormat="1" applyFont="1" applyFill="1" applyBorder="1" applyAlignment="1" applyProtection="1">
      <alignment horizontal="right" vertical="center"/>
    </xf>
    <xf numFmtId="41" fontId="17" fillId="0" borderId="11" xfId="2" applyFont="1" applyFill="1" applyBorder="1" applyAlignment="1" applyProtection="1">
      <alignment horizontal="right" vertical="center"/>
      <protection locked="0"/>
    </xf>
    <xf numFmtId="41" fontId="17" fillId="0" borderId="11" xfId="2" applyFont="1" applyFill="1" applyBorder="1" applyAlignment="1" applyProtection="1">
      <alignment horizontal="right" vertical="center"/>
    </xf>
    <xf numFmtId="41" fontId="17" fillId="0" borderId="12" xfId="2" applyFont="1" applyFill="1" applyBorder="1" applyAlignment="1">
      <alignment horizontal="center" vertical="center"/>
    </xf>
    <xf numFmtId="0" fontId="9" fillId="2" borderId="0" xfId="0" applyFont="1" applyFill="1" applyAlignment="1">
      <alignment horizontal="center" vertical="top"/>
    </xf>
    <xf numFmtId="0" fontId="15" fillId="4" borderId="24" xfId="5" applyFont="1" applyFill="1" applyBorder="1" applyAlignment="1">
      <alignment horizontal="justify" vertical="center" wrapText="1"/>
    </xf>
    <xf numFmtId="0" fontId="8" fillId="5" borderId="11" xfId="0" applyFont="1" applyFill="1" applyBorder="1" applyAlignment="1">
      <alignment vertical="center" wrapText="1"/>
    </xf>
    <xf numFmtId="168" fontId="15" fillId="4" borderId="25" xfId="6" applyNumberFormat="1" applyFont="1" applyFill="1" applyBorder="1" applyAlignment="1" applyProtection="1">
      <alignment vertical="center" wrapText="1"/>
    </xf>
    <xf numFmtId="41" fontId="15" fillId="4" borderId="11" xfId="2" applyFont="1" applyFill="1" applyBorder="1" applyAlignment="1" applyProtection="1">
      <alignment vertical="center" wrapText="1"/>
    </xf>
    <xf numFmtId="41" fontId="17" fillId="4" borderId="11" xfId="2" applyFont="1" applyFill="1" applyBorder="1" applyAlignment="1" applyProtection="1">
      <alignment horizontal="right" vertical="center"/>
    </xf>
    <xf numFmtId="0" fontId="19" fillId="4" borderId="22" xfId="5" applyFont="1" applyFill="1" applyBorder="1" applyAlignment="1">
      <alignment horizontal="center" vertical="center"/>
    </xf>
    <xf numFmtId="0" fontId="19" fillId="4" borderId="24" xfId="5" applyFont="1" applyFill="1" applyBorder="1" applyAlignment="1">
      <alignment horizontal="justify" vertical="center" wrapText="1"/>
    </xf>
    <xf numFmtId="0" fontId="18" fillId="5" borderId="11" xfId="0" applyFont="1" applyFill="1" applyBorder="1" applyAlignment="1">
      <alignment horizontal="center" vertical="center"/>
    </xf>
    <xf numFmtId="4" fontId="17" fillId="4" borderId="25" xfId="6" applyNumberFormat="1" applyFont="1" applyFill="1" applyBorder="1" applyAlignment="1" applyProtection="1">
      <alignment horizontal="right" vertical="center"/>
    </xf>
    <xf numFmtId="41" fontId="17" fillId="4" borderId="11" xfId="2" applyFont="1" applyFill="1" applyBorder="1" applyAlignment="1" applyProtection="1">
      <alignment horizontal="right" vertical="center"/>
      <protection locked="0"/>
    </xf>
    <xf numFmtId="0" fontId="17" fillId="0" borderId="22" xfId="5" applyFont="1" applyBorder="1" applyAlignment="1">
      <alignment horizontal="center" vertical="center"/>
    </xf>
    <xf numFmtId="0" fontId="18" fillId="0" borderId="24" xfId="5" applyFont="1" applyBorder="1" applyAlignment="1">
      <alignment horizontal="justify" vertical="center" wrapText="1"/>
    </xf>
    <xf numFmtId="41" fontId="16" fillId="2" borderId="12" xfId="2" applyFont="1" applyFill="1" applyBorder="1" applyAlignment="1">
      <alignment horizontal="center" vertical="center"/>
    </xf>
    <xf numFmtId="8" fontId="3" fillId="2" borderId="0" xfId="0" applyNumberFormat="1" applyFont="1" applyFill="1"/>
    <xf numFmtId="0" fontId="18" fillId="2" borderId="24" xfId="5" applyFont="1" applyFill="1" applyBorder="1" applyAlignment="1">
      <alignment horizontal="justify" vertical="center" wrapText="1"/>
    </xf>
    <xf numFmtId="8" fontId="0" fillId="2" borderId="0" xfId="0" applyNumberFormat="1" applyFill="1"/>
    <xf numFmtId="0" fontId="15" fillId="4" borderId="22" xfId="5" applyFont="1" applyFill="1" applyBorder="1" applyAlignment="1">
      <alignment horizontal="center" vertical="center"/>
    </xf>
    <xf numFmtId="0" fontId="20" fillId="5" borderId="11" xfId="0" applyFont="1" applyFill="1" applyBorder="1" applyAlignment="1">
      <alignment horizontal="center" vertical="center"/>
    </xf>
    <xf numFmtId="4" fontId="21" fillId="4" borderId="25" xfId="6" applyNumberFormat="1" applyFont="1" applyFill="1" applyBorder="1" applyAlignment="1" applyProtection="1">
      <alignment horizontal="right" vertical="center"/>
    </xf>
    <xf numFmtId="41" fontId="21" fillId="4" borderId="11" xfId="2" applyFont="1" applyFill="1" applyBorder="1" applyAlignment="1" applyProtection="1">
      <alignment horizontal="right" vertical="center"/>
      <protection locked="0"/>
    </xf>
    <xf numFmtId="41" fontId="21" fillId="4" borderId="11" xfId="2" applyFont="1" applyFill="1" applyBorder="1" applyAlignment="1" applyProtection="1">
      <alignment horizontal="right" vertical="center"/>
    </xf>
    <xf numFmtId="4" fontId="3" fillId="2" borderId="0" xfId="0" applyNumberFormat="1" applyFont="1" applyFill="1"/>
    <xf numFmtId="0" fontId="17" fillId="2" borderId="22" xfId="5" applyFont="1" applyFill="1" applyBorder="1" applyAlignment="1">
      <alignment horizontal="center" vertical="center"/>
    </xf>
    <xf numFmtId="0" fontId="17" fillId="2" borderId="24" xfId="5" applyFont="1" applyFill="1" applyBorder="1" applyAlignment="1">
      <alignment horizontal="justify" vertical="center" wrapText="1"/>
    </xf>
    <xf numFmtId="4" fontId="17" fillId="2" borderId="25" xfId="6" applyNumberFormat="1" applyFont="1" applyFill="1" applyBorder="1" applyAlignment="1" applyProtection="1">
      <alignment horizontal="right" vertical="center"/>
    </xf>
    <xf numFmtId="41" fontId="17" fillId="2" borderId="11" xfId="2" applyFont="1" applyFill="1" applyBorder="1" applyAlignment="1" applyProtection="1">
      <alignment horizontal="right" vertical="center"/>
    </xf>
    <xf numFmtId="0" fontId="18" fillId="6" borderId="11" xfId="0" applyFont="1" applyFill="1" applyBorder="1" applyAlignment="1">
      <alignment horizontal="center" vertical="center"/>
    </xf>
    <xf numFmtId="4" fontId="17" fillId="0" borderId="25" xfId="6" applyNumberFormat="1" applyFont="1" applyBorder="1" applyAlignment="1">
      <alignment horizontal="right" vertical="center"/>
    </xf>
    <xf numFmtId="167" fontId="17" fillId="0" borderId="25" xfId="6" applyFont="1" applyBorder="1" applyAlignment="1">
      <alignment vertical="center"/>
    </xf>
    <xf numFmtId="0" fontId="15" fillId="7" borderId="22" xfId="5" applyFont="1" applyFill="1" applyBorder="1" applyAlignment="1">
      <alignment horizontal="center" vertical="center"/>
    </xf>
    <xf numFmtId="0" fontId="15" fillId="7" borderId="24" xfId="5" applyFont="1" applyFill="1" applyBorder="1" applyAlignment="1">
      <alignment horizontal="justify" vertical="center" wrapText="1"/>
    </xf>
    <xf numFmtId="0" fontId="18" fillId="8" borderId="11" xfId="0" applyFont="1" applyFill="1" applyBorder="1" applyAlignment="1">
      <alignment horizontal="center" vertical="center"/>
    </xf>
    <xf numFmtId="4" fontId="17" fillId="7" borderId="25" xfId="6" applyNumberFormat="1" applyFont="1" applyFill="1" applyBorder="1" applyAlignment="1" applyProtection="1">
      <alignment horizontal="right" vertical="center"/>
    </xf>
    <xf numFmtId="41" fontId="17" fillId="7" borderId="11" xfId="2" applyFont="1" applyFill="1" applyBorder="1" applyAlignment="1" applyProtection="1">
      <alignment horizontal="right" vertical="center"/>
      <protection locked="0"/>
    </xf>
    <xf numFmtId="41" fontId="17" fillId="7" borderId="11" xfId="2" applyFont="1" applyFill="1" applyBorder="1" applyAlignment="1" applyProtection="1">
      <alignment horizontal="right" vertical="center"/>
    </xf>
    <xf numFmtId="0" fontId="19" fillId="7" borderId="22" xfId="5" applyFont="1" applyFill="1" applyBorder="1" applyAlignment="1">
      <alignment horizontal="center" vertical="center"/>
    </xf>
    <xf numFmtId="0" fontId="19" fillId="7" borderId="24" xfId="5" applyFont="1" applyFill="1" applyBorder="1" applyAlignment="1">
      <alignment horizontal="justify" vertical="center" wrapText="1"/>
    </xf>
    <xf numFmtId="3" fontId="15" fillId="7" borderId="22" xfId="5" applyNumberFormat="1" applyFont="1" applyFill="1" applyBorder="1" applyAlignment="1">
      <alignment horizontal="center" vertical="center"/>
    </xf>
    <xf numFmtId="0" fontId="8" fillId="8" borderId="11" xfId="0" applyFont="1" applyFill="1" applyBorder="1" applyAlignment="1">
      <alignment vertical="center" wrapText="1"/>
    </xf>
    <xf numFmtId="168" fontId="15" fillId="7" borderId="25" xfId="6" applyNumberFormat="1" applyFont="1" applyFill="1" applyBorder="1" applyAlignment="1" applyProtection="1">
      <alignment vertical="center" wrapText="1"/>
    </xf>
    <xf numFmtId="0" fontId="20" fillId="8" borderId="11" xfId="0" applyFont="1" applyFill="1" applyBorder="1" applyAlignment="1">
      <alignment horizontal="center" vertical="center"/>
    </xf>
    <xf numFmtId="4" fontId="21" fillId="7" borderId="25" xfId="6" applyNumberFormat="1" applyFont="1" applyFill="1" applyBorder="1" applyAlignment="1" applyProtection="1">
      <alignment horizontal="right" vertical="center"/>
    </xf>
    <xf numFmtId="41" fontId="21" fillId="7" borderId="11" xfId="2" applyFont="1" applyFill="1" applyBorder="1" applyAlignment="1" applyProtection="1">
      <alignment horizontal="right" vertical="center"/>
      <protection locked="0"/>
    </xf>
    <xf numFmtId="41" fontId="22" fillId="7" borderId="11" xfId="2" applyFont="1" applyFill="1" applyBorder="1" applyAlignment="1" applyProtection="1">
      <alignment vertical="center" wrapText="1"/>
    </xf>
    <xf numFmtId="0" fontId="19" fillId="7" borderId="26" xfId="5" applyFont="1" applyFill="1" applyBorder="1" applyAlignment="1">
      <alignment horizontal="justify" vertical="center" wrapText="1"/>
    </xf>
    <xf numFmtId="41" fontId="21" fillId="7" borderId="11" xfId="2" applyFont="1" applyFill="1" applyBorder="1" applyAlignment="1" applyProtection="1">
      <alignment horizontal="right" vertical="center"/>
    </xf>
    <xf numFmtId="0" fontId="17" fillId="0" borderId="27" xfId="5" applyFont="1" applyBorder="1" applyAlignment="1">
      <alignment horizontal="center" vertical="center"/>
    </xf>
    <xf numFmtId="0" fontId="18" fillId="0" borderId="24" xfId="0" applyFont="1" applyBorder="1" applyAlignment="1">
      <alignment horizontal="justify" vertical="center" wrapText="1"/>
    </xf>
    <xf numFmtId="0" fontId="19" fillId="7" borderId="28" xfId="5" applyFont="1" applyFill="1" applyBorder="1" applyAlignment="1">
      <alignment horizontal="justify" vertical="center" wrapText="1"/>
    </xf>
    <xf numFmtId="0" fontId="19" fillId="7" borderId="8" xfId="5" applyFont="1" applyFill="1" applyBorder="1" applyAlignment="1">
      <alignment horizontal="justify" vertical="center" wrapText="1"/>
    </xf>
    <xf numFmtId="41" fontId="15" fillId="7" borderId="11" xfId="2" applyFont="1" applyFill="1" applyBorder="1" applyAlignment="1" applyProtection="1">
      <alignment vertical="center" wrapText="1"/>
    </xf>
    <xf numFmtId="0" fontId="23" fillId="0" borderId="11" xfId="0" applyFont="1" applyBorder="1" applyAlignment="1">
      <alignment horizontal="center" vertical="center"/>
    </xf>
    <xf numFmtId="0" fontId="23" fillId="0" borderId="24" xfId="0" applyFont="1" applyBorder="1" applyAlignment="1">
      <alignment horizontal="justify" vertical="center" wrapText="1"/>
    </xf>
    <xf numFmtId="0" fontId="17" fillId="0" borderId="24" xfId="5" applyFont="1" applyBorder="1" applyAlignment="1">
      <alignment horizontal="justify" vertical="center"/>
    </xf>
    <xf numFmtId="0" fontId="19" fillId="7" borderId="24" xfId="5" applyFont="1" applyFill="1" applyBorder="1" applyAlignment="1">
      <alignment horizontal="justify" vertical="center"/>
    </xf>
    <xf numFmtId="0" fontId="18" fillId="0" borderId="0" xfId="0" applyFont="1" applyAlignment="1">
      <alignment vertical="center"/>
    </xf>
    <xf numFmtId="0" fontId="19" fillId="7" borderId="26" xfId="5" applyFont="1" applyFill="1" applyBorder="1" applyAlignment="1">
      <alignment horizontal="justify" vertical="center"/>
    </xf>
    <xf numFmtId="0" fontId="18" fillId="0" borderId="24" xfId="0" applyFont="1" applyBorder="1" applyAlignment="1">
      <alignment horizontal="justify" vertical="center"/>
    </xf>
    <xf numFmtId="0" fontId="17" fillId="0" borderId="8" xfId="5" applyFont="1" applyBorder="1" applyAlignment="1">
      <alignment horizontal="justify" vertical="center"/>
    </xf>
    <xf numFmtId="0" fontId="17" fillId="2" borderId="27" xfId="5" applyFont="1" applyFill="1" applyBorder="1" applyAlignment="1">
      <alignment horizontal="center" vertical="center"/>
    </xf>
    <xf numFmtId="0" fontId="18" fillId="2" borderId="24" xfId="0" applyFont="1" applyFill="1" applyBorder="1" applyAlignment="1">
      <alignment horizontal="justify" vertical="center"/>
    </xf>
    <xf numFmtId="0" fontId="18" fillId="2" borderId="11" xfId="0" applyFont="1" applyFill="1" applyBorder="1" applyAlignment="1">
      <alignment horizontal="center" vertical="center"/>
    </xf>
    <xf numFmtId="0" fontId="17" fillId="0" borderId="26" xfId="5" applyFont="1" applyBorder="1" applyAlignment="1">
      <alignment horizontal="justify" vertical="center"/>
    </xf>
    <xf numFmtId="2" fontId="17" fillId="0" borderId="25" xfId="0" applyNumberFormat="1" applyFont="1" applyBorder="1" applyAlignment="1">
      <alignment horizontal="right" vertical="center"/>
    </xf>
    <xf numFmtId="0" fontId="17" fillId="2" borderId="24" xfId="5" applyFont="1" applyFill="1" applyBorder="1" applyAlignment="1">
      <alignment horizontal="justify" vertical="center"/>
    </xf>
    <xf numFmtId="2" fontId="17" fillId="2" borderId="25" xfId="0" applyNumberFormat="1" applyFont="1" applyFill="1" applyBorder="1" applyAlignment="1">
      <alignment horizontal="right" vertical="center"/>
    </xf>
    <xf numFmtId="41" fontId="17" fillId="2" borderId="11" xfId="2" applyFont="1" applyFill="1" applyBorder="1" applyAlignment="1" applyProtection="1">
      <alignment horizontal="right" vertical="center"/>
      <protection locked="0"/>
    </xf>
    <xf numFmtId="168" fontId="15" fillId="7" borderId="25" xfId="6" applyNumberFormat="1" applyFont="1" applyFill="1" applyBorder="1" applyAlignment="1" applyProtection="1">
      <alignment horizontal="right" vertical="center" wrapText="1"/>
    </xf>
    <xf numFmtId="3" fontId="19" fillId="7" borderId="22" xfId="5" applyNumberFormat="1" applyFont="1" applyFill="1" applyBorder="1" applyAlignment="1">
      <alignment horizontal="center" vertical="center"/>
    </xf>
    <xf numFmtId="166" fontId="17" fillId="7" borderId="25" xfId="7" applyNumberFormat="1" applyFont="1" applyFill="1" applyBorder="1" applyAlignment="1" applyProtection="1">
      <alignment horizontal="right" vertical="center"/>
      <protection locked="0"/>
    </xf>
    <xf numFmtId="0" fontId="24" fillId="7" borderId="22" xfId="8" applyFont="1" applyFill="1" applyBorder="1" applyAlignment="1">
      <alignment horizontal="left" vertical="center"/>
    </xf>
    <xf numFmtId="0" fontId="19" fillId="7" borderId="24" xfId="8" applyFont="1" applyFill="1" applyBorder="1" applyAlignment="1">
      <alignment horizontal="justify" vertical="center" wrapText="1"/>
    </xf>
    <xf numFmtId="167" fontId="17" fillId="7" borderId="25" xfId="6" applyFont="1" applyFill="1" applyBorder="1" applyAlignment="1" applyProtection="1">
      <alignment vertical="center"/>
    </xf>
    <xf numFmtId="0" fontId="17" fillId="0" borderId="22" xfId="8" applyFont="1" applyBorder="1" applyAlignment="1">
      <alignment horizontal="center" vertical="center"/>
    </xf>
    <xf numFmtId="0" fontId="17" fillId="0" borderId="24" xfId="8" applyFont="1" applyBorder="1" applyAlignment="1">
      <alignment horizontal="justify" vertical="center" wrapText="1"/>
    </xf>
    <xf numFmtId="167" fontId="17" fillId="0" borderId="25" xfId="6" applyFont="1" applyFill="1" applyBorder="1" applyAlignment="1" applyProtection="1">
      <alignment vertical="center"/>
    </xf>
    <xf numFmtId="41" fontId="3" fillId="2" borderId="0" xfId="0" applyNumberFormat="1" applyFont="1" applyFill="1"/>
    <xf numFmtId="0" fontId="24" fillId="7" borderId="22" xfId="8" applyFont="1" applyFill="1" applyBorder="1" applyAlignment="1">
      <alignment horizontal="center" vertical="center"/>
    </xf>
    <xf numFmtId="0" fontId="19" fillId="7" borderId="22" xfId="8" applyFont="1" applyFill="1" applyBorder="1" applyAlignment="1">
      <alignment horizontal="center" vertical="center"/>
    </xf>
    <xf numFmtId="0" fontId="17" fillId="7" borderId="22" xfId="8" applyFont="1" applyFill="1" applyBorder="1" applyAlignment="1">
      <alignment horizontal="center" vertical="center"/>
    </xf>
    <xf numFmtId="0" fontId="8" fillId="8" borderId="11" xfId="0" applyFont="1" applyFill="1" applyBorder="1" applyAlignment="1">
      <alignment horizontal="center" vertical="center"/>
    </xf>
    <xf numFmtId="167" fontId="15" fillId="7" borderId="25" xfId="6" applyFont="1" applyFill="1" applyBorder="1" applyAlignment="1" applyProtection="1">
      <alignment vertical="center"/>
    </xf>
    <xf numFmtId="41" fontId="15" fillId="7" borderId="11" xfId="2" applyFont="1" applyFill="1" applyBorder="1" applyAlignment="1" applyProtection="1">
      <alignment horizontal="right" vertical="center"/>
      <protection locked="0"/>
    </xf>
    <xf numFmtId="41" fontId="15" fillId="7" borderId="11" xfId="2" applyFont="1" applyFill="1" applyBorder="1" applyAlignment="1" applyProtection="1">
      <alignment horizontal="right" vertical="center"/>
    </xf>
    <xf numFmtId="4" fontId="17" fillId="0" borderId="24" xfId="5" applyNumberFormat="1" applyFont="1" applyBorder="1" applyAlignment="1">
      <alignment horizontal="justify" vertical="center" wrapText="1"/>
    </xf>
    <xf numFmtId="2" fontId="17" fillId="0" borderId="25" xfId="9" applyNumberFormat="1" applyFont="1" applyFill="1" applyBorder="1" applyAlignment="1" applyProtection="1">
      <alignment horizontal="right" vertical="center"/>
      <protection locked="0"/>
    </xf>
    <xf numFmtId="170" fontId="19" fillId="7" borderId="22" xfId="5" applyNumberFormat="1" applyFont="1" applyFill="1" applyBorder="1" applyAlignment="1">
      <alignment horizontal="center" vertical="center"/>
    </xf>
    <xf numFmtId="166" fontId="17" fillId="7" borderId="25" xfId="9" applyNumberFormat="1" applyFont="1" applyFill="1" applyBorder="1" applyAlignment="1" applyProtection="1">
      <alignment horizontal="right" vertical="center"/>
      <protection locked="0"/>
    </xf>
    <xf numFmtId="2" fontId="19" fillId="7" borderId="22" xfId="5" applyNumberFormat="1" applyFont="1" applyFill="1" applyBorder="1" applyAlignment="1">
      <alignment horizontal="center" vertical="center"/>
    </xf>
    <xf numFmtId="4" fontId="17" fillId="0" borderId="25" xfId="10" applyNumberFormat="1" applyFont="1" applyFill="1" applyBorder="1" applyAlignment="1" applyProtection="1">
      <alignment horizontal="right" vertical="center"/>
    </xf>
    <xf numFmtId="0" fontId="24" fillId="7" borderId="22" xfId="5" applyFont="1" applyFill="1" applyBorder="1" applyAlignment="1">
      <alignment horizontal="center" vertical="center"/>
    </xf>
    <xf numFmtId="4" fontId="17" fillId="7" borderId="25" xfId="10" applyNumberFormat="1" applyFont="1" applyFill="1" applyBorder="1" applyAlignment="1" applyProtection="1">
      <alignment horizontal="right" vertical="center"/>
    </xf>
    <xf numFmtId="0" fontId="19" fillId="7" borderId="24" xfId="5" applyFont="1" applyFill="1" applyBorder="1" applyAlignment="1">
      <alignment horizontal="left" vertical="center" wrapText="1"/>
    </xf>
    <xf numFmtId="4" fontId="17" fillId="2" borderId="24" xfId="5" applyNumberFormat="1" applyFont="1" applyFill="1" applyBorder="1" applyAlignment="1">
      <alignment horizontal="justify" vertical="center" wrapText="1"/>
    </xf>
    <xf numFmtId="4" fontId="17" fillId="2" borderId="25" xfId="10" applyNumberFormat="1" applyFont="1" applyFill="1" applyBorder="1" applyAlignment="1" applyProtection="1">
      <alignment horizontal="right" vertical="center"/>
    </xf>
    <xf numFmtId="168" fontId="19" fillId="7" borderId="22" xfId="5" applyNumberFormat="1" applyFont="1" applyFill="1" applyBorder="1" applyAlignment="1">
      <alignment horizontal="center" vertical="center"/>
    </xf>
    <xf numFmtId="0" fontId="9" fillId="2" borderId="0" xfId="0" applyFont="1" applyFill="1" applyAlignment="1">
      <alignment horizontal="center"/>
    </xf>
    <xf numFmtId="4" fontId="25" fillId="2" borderId="0" xfId="6" applyNumberFormat="1" applyFont="1" applyFill="1" applyBorder="1" applyAlignment="1" applyProtection="1">
      <alignment horizontal="right" vertical="center"/>
    </xf>
    <xf numFmtId="0" fontId="8" fillId="7" borderId="24" xfId="5" applyFont="1" applyFill="1" applyBorder="1" applyAlignment="1">
      <alignment horizontal="justify" vertical="center" wrapText="1"/>
    </xf>
    <xf numFmtId="0" fontId="17" fillId="0" borderId="11" xfId="0" applyFont="1" applyBorder="1" applyAlignment="1">
      <alignment horizontal="center" vertical="center"/>
    </xf>
    <xf numFmtId="41" fontId="15" fillId="4" borderId="11" xfId="2" applyFont="1" applyFill="1" applyBorder="1" applyAlignment="1" applyProtection="1">
      <alignment vertical="center" wrapText="1"/>
      <protection locked="0"/>
    </xf>
    <xf numFmtId="0" fontId="10" fillId="2" borderId="0" xfId="0" applyFont="1" applyFill="1" applyAlignment="1">
      <alignment horizontal="center" vertical="top"/>
    </xf>
    <xf numFmtId="0" fontId="26" fillId="2" borderId="0" xfId="0" applyFont="1" applyFill="1"/>
    <xf numFmtId="3" fontId="0" fillId="0" borderId="0" xfId="0" applyNumberFormat="1" applyAlignment="1">
      <alignment vertical="center" wrapText="1"/>
    </xf>
    <xf numFmtId="0" fontId="15" fillId="9" borderId="22" xfId="0" applyFont="1" applyFill="1" applyBorder="1" applyAlignment="1">
      <alignment vertical="center"/>
    </xf>
    <xf numFmtId="0" fontId="15" fillId="9" borderId="11" xfId="0" applyFont="1" applyFill="1" applyBorder="1" applyAlignment="1">
      <alignment vertical="center"/>
    </xf>
    <xf numFmtId="0" fontId="15" fillId="9" borderId="29" xfId="0" applyFont="1" applyFill="1" applyBorder="1" applyAlignment="1">
      <alignment horizontal="center"/>
    </xf>
    <xf numFmtId="43" fontId="11" fillId="9" borderId="11" xfId="1" applyFont="1" applyFill="1" applyBorder="1" applyAlignment="1">
      <alignment horizontal="center" vertical="top" wrapText="1"/>
    </xf>
    <xf numFmtId="41" fontId="11" fillId="9" borderId="11" xfId="2" applyFont="1" applyFill="1" applyBorder="1" applyAlignment="1">
      <alignment horizontal="center" vertical="top" wrapText="1"/>
    </xf>
    <xf numFmtId="41" fontId="16" fillId="9" borderId="12" xfId="2" applyFont="1" applyFill="1" applyBorder="1" applyAlignment="1">
      <alignment horizontal="center" vertical="center"/>
    </xf>
    <xf numFmtId="4" fontId="4" fillId="2" borderId="0" xfId="0" applyNumberFormat="1" applyFont="1" applyFill="1"/>
    <xf numFmtId="0" fontId="15" fillId="0" borderId="22" xfId="0" applyFont="1" applyBorder="1" applyAlignment="1">
      <alignment vertical="center"/>
    </xf>
    <xf numFmtId="0" fontId="15" fillId="0" borderId="11" xfId="0" applyFont="1" applyBorder="1" applyAlignment="1">
      <alignment vertical="center"/>
    </xf>
    <xf numFmtId="0" fontId="15" fillId="0" borderId="11" xfId="0" applyFont="1" applyBorder="1" applyAlignment="1">
      <alignment horizontal="center"/>
    </xf>
    <xf numFmtId="43" fontId="11" fillId="0" borderId="11" xfId="1" applyFont="1" applyFill="1" applyBorder="1" applyAlignment="1">
      <alignment horizontal="center" vertical="top" wrapText="1"/>
    </xf>
    <xf numFmtId="41" fontId="11" fillId="0" borderId="11" xfId="2" applyFont="1" applyFill="1" applyBorder="1" applyAlignment="1">
      <alignment horizontal="center" vertical="top" wrapText="1"/>
    </xf>
    <xf numFmtId="0" fontId="11" fillId="7" borderId="11" xfId="0" applyFont="1" applyFill="1" applyBorder="1" applyAlignment="1">
      <alignment horizontal="left" vertical="center" wrapText="1"/>
    </xf>
    <xf numFmtId="9" fontId="15" fillId="7" borderId="11" xfId="4" applyFont="1" applyFill="1" applyBorder="1" applyAlignment="1">
      <alignment horizontal="center"/>
    </xf>
    <xf numFmtId="43" fontId="27" fillId="7" borderId="11" xfId="1" applyFont="1" applyFill="1" applyBorder="1" applyAlignment="1">
      <alignment horizontal="center" vertical="top" wrapText="1"/>
    </xf>
    <xf numFmtId="41" fontId="27" fillId="7" borderId="11" xfId="2" applyFont="1" applyFill="1" applyBorder="1" applyAlignment="1">
      <alignment horizontal="center" vertical="top" wrapText="1"/>
    </xf>
    <xf numFmtId="41" fontId="17" fillId="7" borderId="12" xfId="2" applyFont="1" applyFill="1" applyBorder="1" applyAlignment="1">
      <alignment vertical="center"/>
    </xf>
    <xf numFmtId="0" fontId="3" fillId="2" borderId="0" xfId="0" applyFont="1" applyFill="1" applyAlignment="1">
      <alignment horizontal="center"/>
    </xf>
    <xf numFmtId="0" fontId="15" fillId="0" borderId="22" xfId="0" applyFont="1" applyBorder="1"/>
    <xf numFmtId="0" fontId="10" fillId="2" borderId="0" xfId="0" applyFont="1" applyFill="1"/>
    <xf numFmtId="4" fontId="26" fillId="2" borderId="0" xfId="0" applyNumberFormat="1" applyFont="1" applyFill="1"/>
    <xf numFmtId="44" fontId="26" fillId="2" borderId="0" xfId="0" applyNumberFormat="1" applyFont="1" applyFill="1"/>
    <xf numFmtId="0" fontId="15" fillId="10" borderId="30" xfId="0" applyFont="1" applyFill="1" applyBorder="1" applyAlignment="1">
      <alignment vertical="center"/>
    </xf>
    <xf numFmtId="0" fontId="15" fillId="10" borderId="23" xfId="0" applyFont="1" applyFill="1" applyBorder="1" applyAlignment="1">
      <alignment vertical="center"/>
    </xf>
    <xf numFmtId="0" fontId="15" fillId="10" borderId="23" xfId="0" applyFont="1" applyFill="1" applyBorder="1"/>
    <xf numFmtId="43" fontId="11" fillId="10" borderId="23" xfId="1" applyFont="1" applyFill="1" applyBorder="1" applyAlignment="1">
      <alignment horizontal="center" vertical="top" wrapText="1"/>
    </xf>
    <xf numFmtId="41" fontId="11" fillId="10" borderId="23" xfId="2" applyFont="1" applyFill="1" applyBorder="1" applyAlignment="1">
      <alignment horizontal="center" vertical="top" wrapText="1"/>
    </xf>
    <xf numFmtId="41" fontId="15" fillId="10" borderId="31" xfId="2" applyFont="1" applyFill="1" applyBorder="1" applyAlignment="1">
      <alignment vertical="center"/>
    </xf>
    <xf numFmtId="8" fontId="26" fillId="2" borderId="0" xfId="0" applyNumberFormat="1" applyFont="1" applyFill="1"/>
    <xf numFmtId="44" fontId="3" fillId="2" borderId="0" xfId="0" applyNumberFormat="1" applyFont="1" applyFill="1"/>
    <xf numFmtId="0" fontId="15" fillId="2" borderId="32" xfId="0" applyFont="1" applyFill="1" applyBorder="1" applyAlignment="1">
      <alignment vertical="center"/>
    </xf>
    <xf numFmtId="0" fontId="17" fillId="2" borderId="32" xfId="0" applyFont="1" applyFill="1" applyBorder="1"/>
    <xf numFmtId="43" fontId="27" fillId="2" borderId="32" xfId="1" applyFont="1" applyFill="1" applyBorder="1" applyAlignment="1">
      <alignment horizontal="center" vertical="top" wrapText="1"/>
    </xf>
    <xf numFmtId="164" fontId="27" fillId="2" borderId="32" xfId="3" applyNumberFormat="1" applyFont="1" applyFill="1" applyBorder="1" applyAlignment="1">
      <alignment horizontal="center" vertical="top" wrapText="1"/>
    </xf>
    <xf numFmtId="0" fontId="17" fillId="2" borderId="32" xfId="0" applyFont="1" applyFill="1" applyBorder="1" applyAlignment="1">
      <alignment vertical="center"/>
    </xf>
    <xf numFmtId="0" fontId="15" fillId="7" borderId="27" xfId="5" applyFont="1" applyFill="1" applyBorder="1" applyAlignment="1">
      <alignment horizontal="left" vertical="center"/>
    </xf>
    <xf numFmtId="0" fontId="15" fillId="7" borderId="33" xfId="5" applyFont="1" applyFill="1" applyBorder="1" applyAlignment="1">
      <alignment horizontal="left" vertical="center"/>
    </xf>
    <xf numFmtId="0" fontId="15" fillId="7" borderId="25" xfId="5" applyFont="1" applyFill="1" applyBorder="1" applyAlignment="1">
      <alignment horizontal="left" vertical="center"/>
    </xf>
    <xf numFmtId="41" fontId="15" fillId="7" borderId="34" xfId="5" applyNumberFormat="1" applyFont="1" applyFill="1" applyBorder="1" applyAlignment="1">
      <alignment vertical="center"/>
    </xf>
    <xf numFmtId="164" fontId="0" fillId="2" borderId="0" xfId="3" applyNumberFormat="1" applyFont="1" applyFill="1" applyBorder="1"/>
    <xf numFmtId="0" fontId="8" fillId="3" borderId="35" xfId="11" applyFont="1" applyFill="1" applyBorder="1" applyAlignment="1">
      <alignment horizontal="center" vertical="center"/>
    </xf>
    <xf numFmtId="0" fontId="8" fillId="3" borderId="36" xfId="11" applyFont="1" applyFill="1" applyBorder="1" applyAlignment="1">
      <alignment horizontal="center" vertical="center"/>
    </xf>
    <xf numFmtId="0" fontId="8" fillId="3" borderId="37" xfId="11" applyFont="1" applyFill="1" applyBorder="1" applyAlignment="1">
      <alignment horizontal="center" vertical="center"/>
    </xf>
    <xf numFmtId="0" fontId="29" fillId="11" borderId="38" xfId="0" applyFont="1" applyFill="1" applyBorder="1" applyAlignment="1">
      <alignment horizontal="center" vertical="center" wrapText="1"/>
    </xf>
    <xf numFmtId="0" fontId="29" fillId="11" borderId="39" xfId="0" applyFont="1" applyFill="1" applyBorder="1" applyAlignment="1">
      <alignment horizontal="center" vertical="center" wrapText="1"/>
    </xf>
    <xf numFmtId="0" fontId="29" fillId="11" borderId="40" xfId="0" applyFont="1" applyFill="1" applyBorder="1" applyAlignment="1">
      <alignment horizontal="center" vertical="center" wrapText="1"/>
    </xf>
    <xf numFmtId="0" fontId="29" fillId="11" borderId="41" xfId="0" applyFont="1" applyFill="1" applyBorder="1" applyAlignment="1">
      <alignment horizontal="center" vertical="center" wrapText="1"/>
    </xf>
    <xf numFmtId="0" fontId="29" fillId="11" borderId="42" xfId="0" applyFont="1" applyFill="1" applyBorder="1" applyAlignment="1">
      <alignment horizontal="center" vertical="center" wrapText="1"/>
    </xf>
    <xf numFmtId="172" fontId="3" fillId="2" borderId="0" xfId="0" applyNumberFormat="1" applyFont="1" applyFill="1"/>
    <xf numFmtId="0" fontId="30" fillId="11" borderId="43" xfId="0" applyFont="1" applyFill="1" applyBorder="1" applyAlignment="1">
      <alignment horizontal="left" vertical="top" wrapText="1"/>
    </xf>
    <xf numFmtId="0" fontId="30" fillId="11" borderId="44" xfId="0" applyFont="1" applyFill="1" applyBorder="1" applyAlignment="1">
      <alignment horizontal="left" vertical="top" wrapText="1"/>
    </xf>
    <xf numFmtId="0" fontId="30" fillId="11" borderId="44" xfId="0" applyFont="1" applyFill="1" applyBorder="1" applyAlignment="1">
      <alignment horizontal="left" vertical="top" wrapText="1"/>
    </xf>
    <xf numFmtId="0" fontId="29" fillId="11" borderId="44" xfId="0" applyFont="1" applyFill="1" applyBorder="1" applyAlignment="1">
      <alignment vertical="top" wrapText="1"/>
    </xf>
    <xf numFmtId="0" fontId="29" fillId="11" borderId="45" xfId="0" applyFont="1" applyFill="1" applyBorder="1" applyAlignment="1">
      <alignment vertical="top" wrapText="1"/>
    </xf>
    <xf numFmtId="1" fontId="31" fillId="0" borderId="46" xfId="0" applyNumberFormat="1" applyFont="1" applyBorder="1" applyAlignment="1">
      <alignment horizontal="center" vertical="top" wrapText="1" shrinkToFit="1"/>
    </xf>
    <xf numFmtId="0" fontId="32" fillId="0" borderId="47" xfId="0" applyFont="1" applyBorder="1" applyAlignment="1">
      <alignment horizontal="left" vertical="top" wrapText="1"/>
    </xf>
    <xf numFmtId="0" fontId="32" fillId="0" borderId="44" xfId="0" applyFont="1" applyBorder="1" applyAlignment="1">
      <alignment horizontal="left" vertical="top" wrapText="1"/>
    </xf>
    <xf numFmtId="0" fontId="34" fillId="0" borderId="48" xfId="0" applyFont="1" applyBorder="1" applyAlignment="1">
      <alignment horizontal="center" vertical="top" wrapText="1"/>
    </xf>
    <xf numFmtId="1" fontId="36" fillId="0" borderId="48" xfId="0" applyNumberFormat="1" applyFont="1" applyBorder="1" applyAlignment="1">
      <alignment horizontal="center" vertical="top" shrinkToFit="1"/>
    </xf>
    <xf numFmtId="173" fontId="36" fillId="0" borderId="48" xfId="0" applyNumberFormat="1" applyFont="1" applyBorder="1" applyAlignment="1">
      <alignment horizontal="right" vertical="top" shrinkToFit="1"/>
    </xf>
    <xf numFmtId="173" fontId="36" fillId="0" borderId="49" xfId="0" applyNumberFormat="1" applyFont="1" applyBorder="1" applyAlignment="1">
      <alignment horizontal="right" vertical="top" shrinkToFit="1"/>
    </xf>
    <xf numFmtId="174" fontId="0" fillId="2" borderId="0" xfId="0" applyNumberFormat="1" applyFill="1" applyAlignment="1">
      <alignment vertical="center"/>
    </xf>
    <xf numFmtId="0" fontId="34" fillId="0" borderId="48" xfId="0" applyFont="1" applyBorder="1" applyAlignment="1">
      <alignment horizontal="center" vertical="center" wrapText="1"/>
    </xf>
    <xf numFmtId="1" fontId="31" fillId="0" borderId="46" xfId="0" applyNumberFormat="1" applyFont="1" applyBorder="1" applyAlignment="1">
      <alignment horizontal="center" vertical="center" wrapText="1" shrinkToFit="1"/>
    </xf>
    <xf numFmtId="0" fontId="33" fillId="0" borderId="47" xfId="0" applyFont="1" applyBorder="1" applyAlignment="1">
      <alignment horizontal="left" vertical="top" wrapText="1"/>
    </xf>
    <xf numFmtId="1" fontId="36" fillId="0" borderId="48" xfId="0" applyNumberFormat="1" applyFont="1" applyBorder="1" applyAlignment="1">
      <alignment horizontal="center" vertical="center" shrinkToFit="1"/>
    </xf>
    <xf numFmtId="173" fontId="36" fillId="0" borderId="48" xfId="0" applyNumberFormat="1" applyFont="1" applyBorder="1" applyAlignment="1">
      <alignment horizontal="right" vertical="center" shrinkToFit="1"/>
    </xf>
    <xf numFmtId="0" fontId="29" fillId="11" borderId="43" xfId="0" applyFont="1" applyFill="1" applyBorder="1" applyAlignment="1">
      <alignment horizontal="left" vertical="top" wrapText="1"/>
    </xf>
    <xf numFmtId="0" fontId="29" fillId="11" borderId="44" xfId="0" applyFont="1" applyFill="1" applyBorder="1" applyAlignment="1">
      <alignment horizontal="left" vertical="top" wrapText="1"/>
    </xf>
    <xf numFmtId="0" fontId="29" fillId="11" borderId="44" xfId="0" applyFont="1" applyFill="1" applyBorder="1" applyAlignment="1">
      <alignment horizontal="left" vertical="top" wrapText="1"/>
    </xf>
    <xf numFmtId="173" fontId="36" fillId="0" borderId="49" xfId="0" applyNumberFormat="1" applyFont="1" applyBorder="1" applyAlignment="1">
      <alignment horizontal="right" vertical="center" shrinkToFit="1"/>
    </xf>
    <xf numFmtId="1" fontId="31" fillId="0" borderId="50" xfId="0" applyNumberFormat="1" applyFont="1" applyBorder="1" applyAlignment="1">
      <alignment horizontal="center" vertical="top" wrapText="1" shrinkToFit="1"/>
    </xf>
    <xf numFmtId="0" fontId="34" fillId="0" borderId="51" xfId="0" applyFont="1" applyBorder="1" applyAlignment="1">
      <alignment horizontal="center" vertical="top" wrapText="1"/>
    </xf>
    <xf numFmtId="1" fontId="36" fillId="0" borderId="51" xfId="0" applyNumberFormat="1" applyFont="1" applyBorder="1" applyAlignment="1">
      <alignment horizontal="center" vertical="top" shrinkToFit="1"/>
    </xf>
    <xf numFmtId="173" fontId="36" fillId="0" borderId="51" xfId="0" applyNumberFormat="1" applyFont="1" applyBorder="1" applyAlignment="1">
      <alignment horizontal="right" vertical="top" shrinkToFit="1"/>
    </xf>
    <xf numFmtId="173" fontId="36" fillId="0" borderId="52" xfId="0" applyNumberFormat="1" applyFont="1" applyBorder="1" applyAlignment="1">
      <alignment horizontal="right" vertical="top" shrinkToFit="1"/>
    </xf>
    <xf numFmtId="1" fontId="31" fillId="0" borderId="53" xfId="0" applyNumberFormat="1" applyFont="1" applyBorder="1" applyAlignment="1">
      <alignment horizontal="center" vertical="center" wrapText="1" shrinkToFit="1"/>
    </xf>
    <xf numFmtId="0" fontId="34" fillId="0" borderId="54" xfId="0" applyFont="1" applyBorder="1" applyAlignment="1">
      <alignment horizontal="right" vertical="top" wrapText="1" indent="2"/>
    </xf>
    <xf numFmtId="1" fontId="36" fillId="0" borderId="54" xfId="0" applyNumberFormat="1" applyFont="1" applyBorder="1" applyAlignment="1">
      <alignment horizontal="center" vertical="center" shrinkToFit="1"/>
    </xf>
    <xf numFmtId="173" fontId="36" fillId="0" borderId="54" xfId="0" applyNumberFormat="1" applyFont="1" applyBorder="1" applyAlignment="1">
      <alignment horizontal="right" vertical="center" shrinkToFit="1"/>
    </xf>
    <xf numFmtId="173" fontId="36" fillId="0" borderId="55" xfId="0" applyNumberFormat="1" applyFont="1" applyBorder="1" applyAlignment="1">
      <alignment horizontal="right" vertical="center" shrinkToFit="1"/>
    </xf>
    <xf numFmtId="0" fontId="34" fillId="0" borderId="48" xfId="0" applyFont="1" applyBorder="1" applyAlignment="1">
      <alignment horizontal="right" vertical="center" wrapText="1" indent="2"/>
    </xf>
    <xf numFmtId="0" fontId="34" fillId="0" borderId="48" xfId="0" applyFont="1" applyBorder="1" applyAlignment="1">
      <alignment horizontal="right" vertical="top" wrapText="1" indent="2"/>
    </xf>
    <xf numFmtId="0" fontId="34" fillId="0" borderId="51" xfId="0" applyFont="1" applyBorder="1" applyAlignment="1">
      <alignment horizontal="right" vertical="top" wrapText="1" indent="2"/>
    </xf>
    <xf numFmtId="1" fontId="36" fillId="0" borderId="51" xfId="0" applyNumberFormat="1" applyFont="1" applyBorder="1" applyAlignment="1">
      <alignment horizontal="center" vertical="center" shrinkToFit="1"/>
    </xf>
    <xf numFmtId="1" fontId="31" fillId="0" borderId="53" xfId="0" applyNumberFormat="1" applyFont="1" applyBorder="1" applyAlignment="1">
      <alignment horizontal="center" vertical="top" wrapText="1" shrinkToFit="1"/>
    </xf>
    <xf numFmtId="1" fontId="36" fillId="0" borderId="54" xfId="0" applyNumberFormat="1" applyFont="1" applyBorder="1" applyAlignment="1">
      <alignment horizontal="center" vertical="top" shrinkToFit="1"/>
    </xf>
    <xf numFmtId="173" fontId="36" fillId="0" borderId="54" xfId="0" applyNumberFormat="1" applyFont="1" applyBorder="1" applyAlignment="1">
      <alignment horizontal="right" vertical="top" shrinkToFit="1"/>
    </xf>
    <xf numFmtId="173" fontId="36" fillId="0" borderId="55" xfId="0" applyNumberFormat="1" applyFont="1" applyBorder="1" applyAlignment="1">
      <alignment horizontal="right" vertical="top" shrinkToFit="1"/>
    </xf>
    <xf numFmtId="1" fontId="31" fillId="0" borderId="46" xfId="0" applyNumberFormat="1" applyFont="1" applyBorder="1" applyAlignment="1">
      <alignment horizontal="center" wrapText="1" shrinkToFit="1"/>
    </xf>
    <xf numFmtId="1" fontId="31" fillId="0" borderId="50" xfId="0" applyNumberFormat="1" applyFont="1" applyBorder="1" applyAlignment="1">
      <alignment horizontal="center" vertical="center" wrapText="1" shrinkToFit="1"/>
    </xf>
    <xf numFmtId="0" fontId="34" fillId="0" borderId="51" xfId="0" applyFont="1" applyBorder="1" applyAlignment="1">
      <alignment horizontal="right" vertical="center" wrapText="1" indent="2"/>
    </xf>
    <xf numFmtId="173" fontId="36" fillId="0" borderId="51" xfId="0" applyNumberFormat="1" applyFont="1" applyBorder="1" applyAlignment="1">
      <alignment horizontal="right" vertical="center" shrinkToFit="1"/>
    </xf>
    <xf numFmtId="173" fontId="36" fillId="0" borderId="52" xfId="0" applyNumberFormat="1" applyFont="1" applyBorder="1" applyAlignment="1">
      <alignment horizontal="right" vertical="center" shrinkToFit="1"/>
    </xf>
    <xf numFmtId="1" fontId="31" fillId="0" borderId="53" xfId="0" applyNumberFormat="1" applyFont="1" applyBorder="1" applyAlignment="1">
      <alignment horizontal="center" wrapText="1" shrinkToFit="1"/>
    </xf>
    <xf numFmtId="0" fontId="34" fillId="0" borderId="54" xfId="0" applyFont="1" applyBorder="1" applyAlignment="1">
      <alignment horizontal="right" vertical="center" wrapText="1" indent="2"/>
    </xf>
    <xf numFmtId="0" fontId="38" fillId="11" borderId="43" xfId="0" applyFont="1" applyFill="1" applyBorder="1" applyAlignment="1">
      <alignment horizontal="left" vertical="top" wrapText="1"/>
    </xf>
    <xf numFmtId="0" fontId="38" fillId="11" borderId="44" xfId="0" applyFont="1" applyFill="1" applyBorder="1" applyAlignment="1">
      <alignment horizontal="left" vertical="top" wrapText="1"/>
    </xf>
    <xf numFmtId="0" fontId="38" fillId="11" borderId="44" xfId="0" applyFont="1" applyFill="1" applyBorder="1" applyAlignment="1">
      <alignment horizontal="left" vertical="top" wrapText="1"/>
    </xf>
    <xf numFmtId="0" fontId="0" fillId="0" borderId="56" xfId="0" applyBorder="1" applyAlignment="1">
      <alignment horizontal="left" wrapText="1"/>
    </xf>
    <xf numFmtId="0" fontId="0" fillId="0" borderId="57" xfId="0" applyBorder="1" applyAlignment="1">
      <alignment horizontal="left" wrapText="1"/>
    </xf>
    <xf numFmtId="0" fontId="0" fillId="0" borderId="58" xfId="0" applyBorder="1" applyAlignment="1">
      <alignment horizontal="left" wrapText="1"/>
    </xf>
    <xf numFmtId="0" fontId="39" fillId="11" borderId="1" xfId="0" applyFont="1" applyFill="1" applyBorder="1" applyAlignment="1">
      <alignment horizontal="center" vertical="top" wrapText="1"/>
    </xf>
    <xf numFmtId="0" fontId="39" fillId="11" borderId="2" xfId="0" applyFont="1" applyFill="1" applyBorder="1" applyAlignment="1">
      <alignment horizontal="center" vertical="top" wrapText="1"/>
    </xf>
    <xf numFmtId="0" fontId="39" fillId="11" borderId="59" xfId="0" applyFont="1" applyFill="1" applyBorder="1" applyAlignment="1">
      <alignment horizontal="center" vertical="top" wrapText="1"/>
    </xf>
    <xf numFmtId="173" fontId="30" fillId="11" borderId="60" xfId="0" applyNumberFormat="1" applyFont="1" applyFill="1" applyBorder="1" applyAlignment="1">
      <alignment horizontal="right" vertical="top" shrinkToFit="1"/>
    </xf>
    <xf numFmtId="0" fontId="41" fillId="0" borderId="61" xfId="0" applyFont="1" applyBorder="1" applyAlignment="1">
      <alignment horizontal="center" vertical="top" wrapText="1"/>
    </xf>
    <xf numFmtId="0" fontId="41" fillId="0" borderId="62" xfId="0" applyFont="1" applyBorder="1" applyAlignment="1">
      <alignment horizontal="center" vertical="top" wrapText="1"/>
    </xf>
    <xf numFmtId="0" fontId="41" fillId="0" borderId="63" xfId="0" applyFont="1" applyBorder="1" applyAlignment="1">
      <alignment horizontal="center" vertical="top" wrapText="1"/>
    </xf>
    <xf numFmtId="173" fontId="43" fillId="0" borderId="64" xfId="0" applyNumberFormat="1" applyFont="1" applyBorder="1" applyAlignment="1">
      <alignment horizontal="right" vertical="top" shrinkToFit="1"/>
    </xf>
    <xf numFmtId="0" fontId="44" fillId="11" borderId="61" xfId="0" applyFont="1" applyFill="1" applyBorder="1" applyAlignment="1">
      <alignment horizontal="center" vertical="top" wrapText="1"/>
    </xf>
    <xf numFmtId="0" fontId="44" fillId="11" borderId="62" xfId="0" applyFont="1" applyFill="1" applyBorder="1" applyAlignment="1">
      <alignment horizontal="center" vertical="top" wrapText="1"/>
    </xf>
    <xf numFmtId="0" fontId="44" fillId="11" borderId="63" xfId="0" applyFont="1" applyFill="1" applyBorder="1" applyAlignment="1">
      <alignment horizontal="center" vertical="top" wrapText="1"/>
    </xf>
    <xf numFmtId="173" fontId="2" fillId="11" borderId="65" xfId="0" applyNumberFormat="1" applyFont="1" applyFill="1" applyBorder="1" applyAlignment="1">
      <alignment vertical="center"/>
    </xf>
    <xf numFmtId="0" fontId="2" fillId="11" borderId="13" xfId="0" applyFont="1" applyFill="1" applyBorder="1" applyAlignment="1">
      <alignment horizontal="center"/>
    </xf>
    <xf numFmtId="0" fontId="2" fillId="11" borderId="14" xfId="0" applyFont="1" applyFill="1" applyBorder="1" applyAlignment="1">
      <alignment horizontal="center"/>
    </xf>
    <xf numFmtId="173" fontId="2" fillId="11" borderId="66" xfId="0" applyNumberFormat="1" applyFont="1" applyFill="1" applyBorder="1" applyAlignment="1">
      <alignment vertical="center"/>
    </xf>
    <xf numFmtId="173" fontId="0" fillId="2" borderId="0" xfId="0" applyNumberFormat="1" applyFill="1" applyAlignment="1">
      <alignment vertical="center"/>
    </xf>
    <xf numFmtId="0" fontId="15" fillId="0" borderId="30" xfId="0" applyFont="1" applyBorder="1"/>
    <xf numFmtId="0" fontId="11" fillId="7" borderId="23" xfId="0" applyFont="1" applyFill="1" applyBorder="1" applyAlignment="1">
      <alignment horizontal="left" vertical="center" wrapText="1"/>
    </xf>
    <xf numFmtId="9" fontId="15" fillId="7" borderId="23" xfId="4" applyFont="1" applyFill="1" applyBorder="1" applyAlignment="1">
      <alignment horizontal="center"/>
    </xf>
    <xf numFmtId="43" fontId="27" fillId="7" borderId="23" xfId="1" applyFont="1" applyFill="1" applyBorder="1" applyAlignment="1">
      <alignment horizontal="center" vertical="top" wrapText="1"/>
    </xf>
    <xf numFmtId="41" fontId="27" fillId="7" borderId="23" xfId="2" applyFont="1" applyFill="1" applyBorder="1" applyAlignment="1">
      <alignment horizontal="center" vertical="top" wrapText="1"/>
    </xf>
    <xf numFmtId="41" fontId="17" fillId="7" borderId="31" xfId="2" applyFont="1" applyFill="1" applyBorder="1" applyAlignment="1">
      <alignment vertical="center"/>
    </xf>
  </cellXfs>
  <cellStyles count="12">
    <cellStyle name="Millares" xfId="1" builtinId="3"/>
    <cellStyle name="Millares [0]" xfId="2" builtinId="6"/>
    <cellStyle name="Millares 2 2 2" xfId="10" xr:uid="{BC6B9A65-1B0B-4E3D-A9EA-2EFFDE0E03EE}"/>
    <cellStyle name="Millares 2 4" xfId="6" xr:uid="{B411898D-9BB1-489E-9C15-63B5043F0BFA}"/>
    <cellStyle name="Moneda [0]" xfId="3" builtinId="7"/>
    <cellStyle name="Moneda 2 2 3" xfId="9" xr:uid="{D18ECA66-9DC4-4DED-99BE-E2364E93EE4C}"/>
    <cellStyle name="Moneda 2 3" xfId="7" xr:uid="{4708EA76-B65C-48C3-BCA8-FBD041E08EEE}"/>
    <cellStyle name="Normal" xfId="0" builtinId="0"/>
    <cellStyle name="Normal 2" xfId="8" xr:uid="{415EF9D6-0FE6-495A-A8BB-0A7CBCA326EC}"/>
    <cellStyle name="Normal 3" xfId="5" xr:uid="{62F9ADF0-E6DB-4A94-9E0D-7A0D568386E9}"/>
    <cellStyle name="Normal 4 2" xfId="11" xr:uid="{11193DA1-33AF-48DC-BF37-08DBC8A4148F}"/>
    <cellStyle name="Porcentaje" xfId="4"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7" Type="http://schemas.openxmlformats.org/officeDocument/2006/relationships/calcChain" Target="calcChain.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6</xdr:col>
      <xdr:colOff>0</xdr:colOff>
      <xdr:row>456</xdr:row>
      <xdr:rowOff>0</xdr:rowOff>
    </xdr:from>
    <xdr:ext cx="39178" cy="162224"/>
    <xdr:sp macro="" textlink="">
      <xdr:nvSpPr>
        <xdr:cNvPr id="2" name="Rectangle 5">
          <a:extLst>
            <a:ext uri="{FF2B5EF4-FFF2-40B4-BE49-F238E27FC236}">
              <a16:creationId xmlns:a16="http://schemas.microsoft.com/office/drawing/2014/main" id="{A2D0050A-DBEE-4088-A407-A6935DA62EAF}"/>
            </a:ext>
          </a:extLst>
        </xdr:cNvPr>
        <xdr:cNvSpPr>
          <a:spLocks noChangeArrowheads="1"/>
        </xdr:cNvSpPr>
      </xdr:nvSpPr>
      <xdr:spPr bwMode="auto">
        <a:xfrm>
          <a:off x="7134225" y="184994550"/>
          <a:ext cx="39178" cy="162224"/>
        </a:xfrm>
        <a:prstGeom prst="rect">
          <a:avLst/>
        </a:prstGeom>
        <a:noFill/>
        <a:ln w="9525">
          <a:noFill/>
          <a:miter lim="800000"/>
          <a:headEnd/>
          <a:tailEnd/>
        </a:ln>
      </xdr:spPr>
      <xdr:txBody>
        <a:bodyPr wrap="none" lIns="0" tIns="0" rIns="0" bIns="0" anchor="t" upright="1">
          <a:spAutoFit/>
        </a:bodyPr>
        <a:lstStyle/>
        <a:p>
          <a:pPr algn="l" rtl="0">
            <a:defRPr sz="1000"/>
          </a:pPr>
          <a:r>
            <a:rPr lang="es-ES" sz="11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3" name="Rectangle 6">
          <a:extLst>
            <a:ext uri="{FF2B5EF4-FFF2-40B4-BE49-F238E27FC236}">
              <a16:creationId xmlns:a16="http://schemas.microsoft.com/office/drawing/2014/main" id="{E466B4CA-227D-42E4-B5CC-93843D4D7C6D}"/>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4" name="Rectangle 7">
          <a:extLst>
            <a:ext uri="{FF2B5EF4-FFF2-40B4-BE49-F238E27FC236}">
              <a16:creationId xmlns:a16="http://schemas.microsoft.com/office/drawing/2014/main" id="{1E55931B-1DA4-4803-A096-C90C468FB571}"/>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5" name="Rectangle 8">
          <a:extLst>
            <a:ext uri="{FF2B5EF4-FFF2-40B4-BE49-F238E27FC236}">
              <a16:creationId xmlns:a16="http://schemas.microsoft.com/office/drawing/2014/main" id="{0BBD9702-B82C-48C2-B344-1BE3BAB0602E}"/>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6" name="Rectangle 9">
          <a:extLst>
            <a:ext uri="{FF2B5EF4-FFF2-40B4-BE49-F238E27FC236}">
              <a16:creationId xmlns:a16="http://schemas.microsoft.com/office/drawing/2014/main" id="{D4DCC664-E142-4EDF-A8AD-6CFB9A93E408}"/>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7" name="Rectangle 10">
          <a:extLst>
            <a:ext uri="{FF2B5EF4-FFF2-40B4-BE49-F238E27FC236}">
              <a16:creationId xmlns:a16="http://schemas.microsoft.com/office/drawing/2014/main" id="{596C1DAE-843B-44A9-8240-A59B990F4481}"/>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2</xdr:col>
      <xdr:colOff>257175</xdr:colOff>
      <xdr:row>456</xdr:row>
      <xdr:rowOff>0</xdr:rowOff>
    </xdr:from>
    <xdr:ext cx="32060" cy="132665"/>
    <xdr:sp macro="" textlink="">
      <xdr:nvSpPr>
        <xdr:cNvPr id="8" name="Rectangle 15">
          <a:extLst>
            <a:ext uri="{FF2B5EF4-FFF2-40B4-BE49-F238E27FC236}">
              <a16:creationId xmlns:a16="http://schemas.microsoft.com/office/drawing/2014/main" id="{594AF854-0866-4188-8CED-6F3CF27B4603}"/>
            </a:ext>
          </a:extLst>
        </xdr:cNvPr>
        <xdr:cNvSpPr>
          <a:spLocks noChangeArrowheads="1"/>
        </xdr:cNvSpPr>
      </xdr:nvSpPr>
      <xdr:spPr bwMode="auto">
        <a:xfrm>
          <a:off x="117157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9178" cy="162224"/>
    <xdr:sp macro="" textlink="">
      <xdr:nvSpPr>
        <xdr:cNvPr id="9" name="Rectangle 5">
          <a:extLst>
            <a:ext uri="{FF2B5EF4-FFF2-40B4-BE49-F238E27FC236}">
              <a16:creationId xmlns:a16="http://schemas.microsoft.com/office/drawing/2014/main" id="{9F8CB0CC-DD12-4C81-A9C9-6D7F173FD41C}"/>
            </a:ext>
          </a:extLst>
        </xdr:cNvPr>
        <xdr:cNvSpPr>
          <a:spLocks noChangeArrowheads="1"/>
        </xdr:cNvSpPr>
      </xdr:nvSpPr>
      <xdr:spPr bwMode="auto">
        <a:xfrm>
          <a:off x="7134225" y="184994550"/>
          <a:ext cx="39178" cy="162224"/>
        </a:xfrm>
        <a:prstGeom prst="rect">
          <a:avLst/>
        </a:prstGeom>
        <a:noFill/>
        <a:ln w="9525">
          <a:noFill/>
          <a:miter lim="800000"/>
          <a:headEnd/>
          <a:tailEnd/>
        </a:ln>
      </xdr:spPr>
      <xdr:txBody>
        <a:bodyPr wrap="none" lIns="0" tIns="0" rIns="0" bIns="0" anchor="t" upright="1">
          <a:spAutoFit/>
        </a:bodyPr>
        <a:lstStyle/>
        <a:p>
          <a:pPr algn="l" rtl="0">
            <a:defRPr sz="1000"/>
          </a:pPr>
          <a:r>
            <a:rPr lang="es-ES" sz="11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10" name="Rectangle 6">
          <a:extLst>
            <a:ext uri="{FF2B5EF4-FFF2-40B4-BE49-F238E27FC236}">
              <a16:creationId xmlns:a16="http://schemas.microsoft.com/office/drawing/2014/main" id="{B64804AA-2C5E-40D8-93FC-69233BA4C1C0}"/>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11" name="Rectangle 7">
          <a:extLst>
            <a:ext uri="{FF2B5EF4-FFF2-40B4-BE49-F238E27FC236}">
              <a16:creationId xmlns:a16="http://schemas.microsoft.com/office/drawing/2014/main" id="{3AED71DB-6571-4E18-B5E4-8F7C6E1D4386}"/>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12" name="Rectangle 8">
          <a:extLst>
            <a:ext uri="{FF2B5EF4-FFF2-40B4-BE49-F238E27FC236}">
              <a16:creationId xmlns:a16="http://schemas.microsoft.com/office/drawing/2014/main" id="{0D778AAE-2379-4079-BD12-AEDD6299A66C}"/>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13" name="Rectangle 9">
          <a:extLst>
            <a:ext uri="{FF2B5EF4-FFF2-40B4-BE49-F238E27FC236}">
              <a16:creationId xmlns:a16="http://schemas.microsoft.com/office/drawing/2014/main" id="{8B966F06-DABB-4463-A928-7EF6AA68D3D0}"/>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14" name="Rectangle 10">
          <a:extLst>
            <a:ext uri="{FF2B5EF4-FFF2-40B4-BE49-F238E27FC236}">
              <a16:creationId xmlns:a16="http://schemas.microsoft.com/office/drawing/2014/main" id="{127BA8E3-7B93-4F91-B993-AEF97E48A8A8}"/>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2</xdr:col>
      <xdr:colOff>257175</xdr:colOff>
      <xdr:row>456</xdr:row>
      <xdr:rowOff>0</xdr:rowOff>
    </xdr:from>
    <xdr:ext cx="32060" cy="132665"/>
    <xdr:sp macro="" textlink="">
      <xdr:nvSpPr>
        <xdr:cNvPr id="15" name="Rectangle 15">
          <a:extLst>
            <a:ext uri="{FF2B5EF4-FFF2-40B4-BE49-F238E27FC236}">
              <a16:creationId xmlns:a16="http://schemas.microsoft.com/office/drawing/2014/main" id="{0E088107-9BA3-4415-BE68-4955E3653844}"/>
            </a:ext>
          </a:extLst>
        </xdr:cNvPr>
        <xdr:cNvSpPr>
          <a:spLocks noChangeArrowheads="1"/>
        </xdr:cNvSpPr>
      </xdr:nvSpPr>
      <xdr:spPr bwMode="auto">
        <a:xfrm>
          <a:off x="117157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9178" cy="162224"/>
    <xdr:sp macro="" textlink="">
      <xdr:nvSpPr>
        <xdr:cNvPr id="16" name="Rectangle 5">
          <a:extLst>
            <a:ext uri="{FF2B5EF4-FFF2-40B4-BE49-F238E27FC236}">
              <a16:creationId xmlns:a16="http://schemas.microsoft.com/office/drawing/2014/main" id="{025C14DB-B345-4AEC-A8CE-45F4252DBFEA}"/>
            </a:ext>
          </a:extLst>
        </xdr:cNvPr>
        <xdr:cNvSpPr>
          <a:spLocks noChangeArrowheads="1"/>
        </xdr:cNvSpPr>
      </xdr:nvSpPr>
      <xdr:spPr bwMode="auto">
        <a:xfrm>
          <a:off x="7134225" y="184994550"/>
          <a:ext cx="39178" cy="162224"/>
        </a:xfrm>
        <a:prstGeom prst="rect">
          <a:avLst/>
        </a:prstGeom>
        <a:noFill/>
        <a:ln w="9525">
          <a:noFill/>
          <a:miter lim="800000"/>
          <a:headEnd/>
          <a:tailEnd/>
        </a:ln>
      </xdr:spPr>
      <xdr:txBody>
        <a:bodyPr wrap="none" lIns="0" tIns="0" rIns="0" bIns="0" anchor="t" upright="1">
          <a:spAutoFit/>
        </a:bodyPr>
        <a:lstStyle/>
        <a:p>
          <a:pPr algn="l" rtl="0">
            <a:defRPr sz="1000"/>
          </a:pPr>
          <a:r>
            <a:rPr lang="es-ES" sz="11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17" name="Rectangle 6">
          <a:extLst>
            <a:ext uri="{FF2B5EF4-FFF2-40B4-BE49-F238E27FC236}">
              <a16:creationId xmlns:a16="http://schemas.microsoft.com/office/drawing/2014/main" id="{7119AC21-B786-4794-9C2D-4F45E02ABED6}"/>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18" name="Rectangle 7">
          <a:extLst>
            <a:ext uri="{FF2B5EF4-FFF2-40B4-BE49-F238E27FC236}">
              <a16:creationId xmlns:a16="http://schemas.microsoft.com/office/drawing/2014/main" id="{D1AF1FCA-CE36-45D0-9C8F-60A72FF39CFA}"/>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19" name="Rectangle 8">
          <a:extLst>
            <a:ext uri="{FF2B5EF4-FFF2-40B4-BE49-F238E27FC236}">
              <a16:creationId xmlns:a16="http://schemas.microsoft.com/office/drawing/2014/main" id="{70544A94-58FA-4625-AF61-DD65B0B9EBAB}"/>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20" name="Rectangle 9">
          <a:extLst>
            <a:ext uri="{FF2B5EF4-FFF2-40B4-BE49-F238E27FC236}">
              <a16:creationId xmlns:a16="http://schemas.microsoft.com/office/drawing/2014/main" id="{A174D993-9F82-4C3F-BDDE-096A77E47E71}"/>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21" name="Rectangle 10">
          <a:extLst>
            <a:ext uri="{FF2B5EF4-FFF2-40B4-BE49-F238E27FC236}">
              <a16:creationId xmlns:a16="http://schemas.microsoft.com/office/drawing/2014/main" id="{0053CA06-0FC7-4128-84DD-8FD1D3BCF2B1}"/>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2</xdr:col>
      <xdr:colOff>257175</xdr:colOff>
      <xdr:row>456</xdr:row>
      <xdr:rowOff>0</xdr:rowOff>
    </xdr:from>
    <xdr:ext cx="32060" cy="132665"/>
    <xdr:sp macro="" textlink="">
      <xdr:nvSpPr>
        <xdr:cNvPr id="22" name="Rectangle 15">
          <a:extLst>
            <a:ext uri="{FF2B5EF4-FFF2-40B4-BE49-F238E27FC236}">
              <a16:creationId xmlns:a16="http://schemas.microsoft.com/office/drawing/2014/main" id="{AB4DB385-B8C1-497C-997C-63665005C5D4}"/>
            </a:ext>
          </a:extLst>
        </xdr:cNvPr>
        <xdr:cNvSpPr>
          <a:spLocks noChangeArrowheads="1"/>
        </xdr:cNvSpPr>
      </xdr:nvSpPr>
      <xdr:spPr bwMode="auto">
        <a:xfrm>
          <a:off x="117157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9178" cy="162224"/>
    <xdr:sp macro="" textlink="">
      <xdr:nvSpPr>
        <xdr:cNvPr id="23" name="Rectangle 5">
          <a:extLst>
            <a:ext uri="{FF2B5EF4-FFF2-40B4-BE49-F238E27FC236}">
              <a16:creationId xmlns:a16="http://schemas.microsoft.com/office/drawing/2014/main" id="{7563B9B3-4A75-44B9-84EF-B5300091784E}"/>
            </a:ext>
          </a:extLst>
        </xdr:cNvPr>
        <xdr:cNvSpPr>
          <a:spLocks noChangeArrowheads="1"/>
        </xdr:cNvSpPr>
      </xdr:nvSpPr>
      <xdr:spPr bwMode="auto">
        <a:xfrm>
          <a:off x="7134225" y="184994550"/>
          <a:ext cx="39178" cy="162224"/>
        </a:xfrm>
        <a:prstGeom prst="rect">
          <a:avLst/>
        </a:prstGeom>
        <a:noFill/>
        <a:ln w="9525">
          <a:noFill/>
          <a:miter lim="800000"/>
          <a:headEnd/>
          <a:tailEnd/>
        </a:ln>
      </xdr:spPr>
      <xdr:txBody>
        <a:bodyPr wrap="none" lIns="0" tIns="0" rIns="0" bIns="0" anchor="t" upright="1">
          <a:spAutoFit/>
        </a:bodyPr>
        <a:lstStyle/>
        <a:p>
          <a:pPr algn="l" rtl="0">
            <a:defRPr sz="1000"/>
          </a:pPr>
          <a:r>
            <a:rPr lang="es-ES" sz="11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24" name="Rectangle 6">
          <a:extLst>
            <a:ext uri="{FF2B5EF4-FFF2-40B4-BE49-F238E27FC236}">
              <a16:creationId xmlns:a16="http://schemas.microsoft.com/office/drawing/2014/main" id="{0CB7AA13-574E-4A87-A797-C021B630F7BA}"/>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25" name="Rectangle 7">
          <a:extLst>
            <a:ext uri="{FF2B5EF4-FFF2-40B4-BE49-F238E27FC236}">
              <a16:creationId xmlns:a16="http://schemas.microsoft.com/office/drawing/2014/main" id="{1AE96B01-FC6A-42E5-8322-FC48229646DA}"/>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26" name="Rectangle 8">
          <a:extLst>
            <a:ext uri="{FF2B5EF4-FFF2-40B4-BE49-F238E27FC236}">
              <a16:creationId xmlns:a16="http://schemas.microsoft.com/office/drawing/2014/main" id="{69B2891F-1D75-49A9-BCEE-9340937A4928}"/>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27" name="Rectangle 9">
          <a:extLst>
            <a:ext uri="{FF2B5EF4-FFF2-40B4-BE49-F238E27FC236}">
              <a16:creationId xmlns:a16="http://schemas.microsoft.com/office/drawing/2014/main" id="{342E3450-811E-4448-BAEE-449D44125A42}"/>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28" name="Rectangle 10">
          <a:extLst>
            <a:ext uri="{FF2B5EF4-FFF2-40B4-BE49-F238E27FC236}">
              <a16:creationId xmlns:a16="http://schemas.microsoft.com/office/drawing/2014/main" id="{DA6E91A6-C5F7-4DC3-9FC2-857C495B3D8C}"/>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2</xdr:col>
      <xdr:colOff>257175</xdr:colOff>
      <xdr:row>456</xdr:row>
      <xdr:rowOff>0</xdr:rowOff>
    </xdr:from>
    <xdr:ext cx="32060" cy="132665"/>
    <xdr:sp macro="" textlink="">
      <xdr:nvSpPr>
        <xdr:cNvPr id="29" name="Rectangle 15">
          <a:extLst>
            <a:ext uri="{FF2B5EF4-FFF2-40B4-BE49-F238E27FC236}">
              <a16:creationId xmlns:a16="http://schemas.microsoft.com/office/drawing/2014/main" id="{73756C68-88A0-444E-BDC6-4DEFCDC2EA12}"/>
            </a:ext>
          </a:extLst>
        </xdr:cNvPr>
        <xdr:cNvSpPr>
          <a:spLocks noChangeArrowheads="1"/>
        </xdr:cNvSpPr>
      </xdr:nvSpPr>
      <xdr:spPr bwMode="auto">
        <a:xfrm>
          <a:off x="117157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9178" cy="162224"/>
    <xdr:sp macro="" textlink="">
      <xdr:nvSpPr>
        <xdr:cNvPr id="30" name="Rectangle 5">
          <a:extLst>
            <a:ext uri="{FF2B5EF4-FFF2-40B4-BE49-F238E27FC236}">
              <a16:creationId xmlns:a16="http://schemas.microsoft.com/office/drawing/2014/main" id="{022AFA5A-FEB8-4EB2-B96B-547EDC9531D7}"/>
            </a:ext>
          </a:extLst>
        </xdr:cNvPr>
        <xdr:cNvSpPr>
          <a:spLocks noChangeArrowheads="1"/>
        </xdr:cNvSpPr>
      </xdr:nvSpPr>
      <xdr:spPr bwMode="auto">
        <a:xfrm>
          <a:off x="7134225" y="184994550"/>
          <a:ext cx="39178" cy="162224"/>
        </a:xfrm>
        <a:prstGeom prst="rect">
          <a:avLst/>
        </a:prstGeom>
        <a:noFill/>
        <a:ln w="9525">
          <a:noFill/>
          <a:miter lim="800000"/>
          <a:headEnd/>
          <a:tailEnd/>
        </a:ln>
      </xdr:spPr>
      <xdr:txBody>
        <a:bodyPr wrap="none" lIns="0" tIns="0" rIns="0" bIns="0" anchor="t" upright="1">
          <a:spAutoFit/>
        </a:bodyPr>
        <a:lstStyle/>
        <a:p>
          <a:pPr algn="l" rtl="0">
            <a:defRPr sz="1000"/>
          </a:pPr>
          <a:r>
            <a:rPr lang="es-ES" sz="11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31" name="Rectangle 6">
          <a:extLst>
            <a:ext uri="{FF2B5EF4-FFF2-40B4-BE49-F238E27FC236}">
              <a16:creationId xmlns:a16="http://schemas.microsoft.com/office/drawing/2014/main" id="{B8FCBB81-3725-444B-AE0B-83AF71E2E9E5}"/>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32" name="Rectangle 7">
          <a:extLst>
            <a:ext uri="{FF2B5EF4-FFF2-40B4-BE49-F238E27FC236}">
              <a16:creationId xmlns:a16="http://schemas.microsoft.com/office/drawing/2014/main" id="{E9C2DD99-1CF9-454A-8397-AD8CAFA921EB}"/>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33" name="Rectangle 8">
          <a:extLst>
            <a:ext uri="{FF2B5EF4-FFF2-40B4-BE49-F238E27FC236}">
              <a16:creationId xmlns:a16="http://schemas.microsoft.com/office/drawing/2014/main" id="{EBA2F733-0CD7-492E-90CB-CB37584251ED}"/>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34" name="Rectangle 9">
          <a:extLst>
            <a:ext uri="{FF2B5EF4-FFF2-40B4-BE49-F238E27FC236}">
              <a16:creationId xmlns:a16="http://schemas.microsoft.com/office/drawing/2014/main" id="{46F24A52-5F06-4F6F-961D-3B8C37137CB0}"/>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35" name="Rectangle 10">
          <a:extLst>
            <a:ext uri="{FF2B5EF4-FFF2-40B4-BE49-F238E27FC236}">
              <a16:creationId xmlns:a16="http://schemas.microsoft.com/office/drawing/2014/main" id="{121AC248-1BA9-48E2-B7A2-E6149A6B8DE7}"/>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2</xdr:col>
      <xdr:colOff>257175</xdr:colOff>
      <xdr:row>456</xdr:row>
      <xdr:rowOff>0</xdr:rowOff>
    </xdr:from>
    <xdr:ext cx="32060" cy="132665"/>
    <xdr:sp macro="" textlink="">
      <xdr:nvSpPr>
        <xdr:cNvPr id="36" name="Rectangle 15">
          <a:extLst>
            <a:ext uri="{FF2B5EF4-FFF2-40B4-BE49-F238E27FC236}">
              <a16:creationId xmlns:a16="http://schemas.microsoft.com/office/drawing/2014/main" id="{CF1907A3-08B5-4CAF-A4BF-42440A23BF8A}"/>
            </a:ext>
          </a:extLst>
        </xdr:cNvPr>
        <xdr:cNvSpPr>
          <a:spLocks noChangeArrowheads="1"/>
        </xdr:cNvSpPr>
      </xdr:nvSpPr>
      <xdr:spPr bwMode="auto">
        <a:xfrm>
          <a:off x="117157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9178" cy="162224"/>
    <xdr:sp macro="" textlink="">
      <xdr:nvSpPr>
        <xdr:cNvPr id="37" name="Rectangle 5">
          <a:extLst>
            <a:ext uri="{FF2B5EF4-FFF2-40B4-BE49-F238E27FC236}">
              <a16:creationId xmlns:a16="http://schemas.microsoft.com/office/drawing/2014/main" id="{F766EEA7-B92F-44D1-9156-3C84E89C1B09}"/>
            </a:ext>
          </a:extLst>
        </xdr:cNvPr>
        <xdr:cNvSpPr>
          <a:spLocks noChangeArrowheads="1"/>
        </xdr:cNvSpPr>
      </xdr:nvSpPr>
      <xdr:spPr bwMode="auto">
        <a:xfrm>
          <a:off x="7134225" y="184994550"/>
          <a:ext cx="39178" cy="162224"/>
        </a:xfrm>
        <a:prstGeom prst="rect">
          <a:avLst/>
        </a:prstGeom>
        <a:noFill/>
        <a:ln w="9525">
          <a:noFill/>
          <a:miter lim="800000"/>
          <a:headEnd/>
          <a:tailEnd/>
        </a:ln>
      </xdr:spPr>
      <xdr:txBody>
        <a:bodyPr wrap="none" lIns="0" tIns="0" rIns="0" bIns="0" anchor="t" upright="1">
          <a:spAutoFit/>
        </a:bodyPr>
        <a:lstStyle/>
        <a:p>
          <a:pPr algn="l" rtl="0">
            <a:defRPr sz="1000"/>
          </a:pPr>
          <a:r>
            <a:rPr lang="es-ES" sz="11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38" name="Rectangle 6">
          <a:extLst>
            <a:ext uri="{FF2B5EF4-FFF2-40B4-BE49-F238E27FC236}">
              <a16:creationId xmlns:a16="http://schemas.microsoft.com/office/drawing/2014/main" id="{1ABE894E-5582-4A1D-9BA4-9A625935B044}"/>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39" name="Rectangle 7">
          <a:extLst>
            <a:ext uri="{FF2B5EF4-FFF2-40B4-BE49-F238E27FC236}">
              <a16:creationId xmlns:a16="http://schemas.microsoft.com/office/drawing/2014/main" id="{89D25D59-FC27-4B34-A5D7-4B7FF01FD05D}"/>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40" name="Rectangle 8">
          <a:extLst>
            <a:ext uri="{FF2B5EF4-FFF2-40B4-BE49-F238E27FC236}">
              <a16:creationId xmlns:a16="http://schemas.microsoft.com/office/drawing/2014/main" id="{02540813-B0CB-4413-9CF9-E4FEE80D8B0D}"/>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8288</xdr:colOff>
      <xdr:row>456</xdr:row>
      <xdr:rowOff>0</xdr:rowOff>
    </xdr:from>
    <xdr:ext cx="32060" cy="132665"/>
    <xdr:sp macro="" textlink="">
      <xdr:nvSpPr>
        <xdr:cNvPr id="41" name="Rectangle 9">
          <a:extLst>
            <a:ext uri="{FF2B5EF4-FFF2-40B4-BE49-F238E27FC236}">
              <a16:creationId xmlns:a16="http://schemas.microsoft.com/office/drawing/2014/main" id="{60A02127-FE97-4D99-BF8B-B59DF7D12382}"/>
            </a:ext>
          </a:extLst>
        </xdr:cNvPr>
        <xdr:cNvSpPr>
          <a:spLocks noChangeArrowheads="1"/>
        </xdr:cNvSpPr>
      </xdr:nvSpPr>
      <xdr:spPr bwMode="auto">
        <a:xfrm>
          <a:off x="5913788"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6</xdr:col>
      <xdr:colOff>0</xdr:colOff>
      <xdr:row>456</xdr:row>
      <xdr:rowOff>0</xdr:rowOff>
    </xdr:from>
    <xdr:ext cx="32060" cy="132665"/>
    <xdr:sp macro="" textlink="">
      <xdr:nvSpPr>
        <xdr:cNvPr id="42" name="Rectangle 10">
          <a:extLst>
            <a:ext uri="{FF2B5EF4-FFF2-40B4-BE49-F238E27FC236}">
              <a16:creationId xmlns:a16="http://schemas.microsoft.com/office/drawing/2014/main" id="{9578E296-9A55-4924-974C-B2407FA80662}"/>
            </a:ext>
          </a:extLst>
        </xdr:cNvPr>
        <xdr:cNvSpPr>
          <a:spLocks noChangeArrowheads="1"/>
        </xdr:cNvSpPr>
      </xdr:nvSpPr>
      <xdr:spPr bwMode="auto">
        <a:xfrm>
          <a:off x="713422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2</xdr:col>
      <xdr:colOff>257175</xdr:colOff>
      <xdr:row>456</xdr:row>
      <xdr:rowOff>0</xdr:rowOff>
    </xdr:from>
    <xdr:ext cx="32060" cy="132665"/>
    <xdr:sp macro="" textlink="">
      <xdr:nvSpPr>
        <xdr:cNvPr id="43" name="Rectangle 15">
          <a:extLst>
            <a:ext uri="{FF2B5EF4-FFF2-40B4-BE49-F238E27FC236}">
              <a16:creationId xmlns:a16="http://schemas.microsoft.com/office/drawing/2014/main" id="{3470C9FA-A9D0-424C-BC38-33C36DDCC5DF}"/>
            </a:ext>
          </a:extLst>
        </xdr:cNvPr>
        <xdr:cNvSpPr>
          <a:spLocks noChangeArrowheads="1"/>
        </xdr:cNvSpPr>
      </xdr:nvSpPr>
      <xdr:spPr bwMode="auto">
        <a:xfrm>
          <a:off x="1171575" y="184994550"/>
          <a:ext cx="32060" cy="132665"/>
        </a:xfrm>
        <a:prstGeom prst="rect">
          <a:avLst/>
        </a:prstGeom>
        <a:noFill/>
        <a:ln w="9525">
          <a:noFill/>
          <a:miter lim="800000"/>
          <a:headEnd/>
          <a:tailEnd/>
        </a:ln>
      </xdr:spPr>
      <xdr:txBody>
        <a:bodyPr wrap="none" lIns="0" tIns="0" rIns="0" bIns="0" anchor="t" upright="1">
          <a:spAutoFit/>
        </a:bodyPr>
        <a:lstStyle/>
        <a:p>
          <a:pPr algn="l" rtl="0">
            <a:defRPr sz="1000"/>
          </a:pPr>
          <a:r>
            <a:rPr lang="es-ES" sz="900" b="0" i="0" strike="noStrike">
              <a:solidFill>
                <a:srgbClr val="000000"/>
              </a:solidFill>
              <a:latin typeface="Arial"/>
              <a:cs typeface="Arial"/>
            </a:rPr>
            <a:t> </a:t>
          </a:r>
        </a:p>
      </xdr:txBody>
    </xdr:sp>
    <xdr:clientData/>
  </xdr:oneCellAnchor>
  <xdr:oneCellAnchor>
    <xdr:from>
      <xdr:col>5</xdr:col>
      <xdr:colOff>386140</xdr:colOff>
      <xdr:row>3</xdr:row>
      <xdr:rowOff>42334</xdr:rowOff>
    </xdr:from>
    <xdr:ext cx="789361" cy="931333"/>
    <xdr:pic>
      <xdr:nvPicPr>
        <xdr:cNvPr id="44" name="Imagen 43">
          <a:extLst>
            <a:ext uri="{FF2B5EF4-FFF2-40B4-BE49-F238E27FC236}">
              <a16:creationId xmlns:a16="http://schemas.microsoft.com/office/drawing/2014/main" id="{7C4D5B75-0D79-4EF9-9646-933C41CA4EFC}"/>
            </a:ext>
          </a:extLst>
        </xdr:cNvPr>
        <xdr:cNvPicPr>
          <a:picLocks noChangeAspect="1"/>
        </xdr:cNvPicPr>
      </xdr:nvPicPr>
      <xdr:blipFill>
        <a:blip xmlns:r="http://schemas.openxmlformats.org/officeDocument/2006/relationships" r:embed="rId1"/>
        <a:stretch>
          <a:fillRect/>
        </a:stretch>
      </xdr:blipFill>
      <xdr:spPr>
        <a:xfrm>
          <a:off x="6291640" y="623359"/>
          <a:ext cx="789361" cy="931333"/>
        </a:xfrm>
        <a:prstGeom prst="rect">
          <a:avLst/>
        </a:prstGeom>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PROYECTO%20UNICORDOBA%20BPIN%20063/G302.%20PRESUPUESTO/G302.%20PRES.%20OFICIAL.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d.docs.live.net/Users/Esteban%20Botello/Desktop/MEMORIA%20DE%20CANTIDADES/DOTAC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PO COMPLETO"/>
      <sheetName val="PO EJECUTADO"/>
      <sheetName val="PO POR EJECUTAR"/>
      <sheetName val="AIU"/>
      <sheetName val="INTERVENTORÍA "/>
      <sheetName val="FM"/>
      <sheetName val="MANO DE OBRA"/>
      <sheetName val="MATERIAL - EQUIPÓS"/>
      <sheetName val="CONCRETOS"/>
      <sheetName val="1. PRELIMINARES"/>
      <sheetName val="2. CIMENTACION"/>
      <sheetName val="3. ESTRUCTURA EN CONCRETO"/>
      <sheetName val="4. ESTRUCTURAS METALICAS"/>
      <sheetName val="5. CONCRETO ARQUITECTONICO"/>
      <sheetName val="6. INSTALACIONES HIDROSANITARIA"/>
      <sheetName val="7. INSTALACIONES ELECTRICAS"/>
      <sheetName val="8. INSTALACIONES MECANICAS"/>
      <sheetName val="9. MAMPOSTERIA"/>
      <sheetName val="10. CUBIERTA"/>
      <sheetName val="11. PAÑETES"/>
      <sheetName val="12. RECUBRIMIENTO ZONAS HUMEDAS"/>
      <sheetName val="13. PISOS"/>
      <sheetName val="14. IMPERMEABILIZACION"/>
      <sheetName val="15. VENTANERIA"/>
      <sheetName val="16. CARPINTERIA METALICA"/>
      <sheetName val="17. SISTEMAS LIVIANOS"/>
      <sheetName val="18. DOTACION BAÑOS"/>
      <sheetName val="19. PINTURAS"/>
      <sheetName val="20. EQUIPOS ESPECIALES"/>
      <sheetName val="21. ESPACIO PUBLICO"/>
      <sheetName val="22. ASEO Y LIMPIEZA"/>
      <sheetName val="CAP 1"/>
      <sheetName val="CAP 2"/>
      <sheetName val="CAP 3"/>
      <sheetName val="CAP 4"/>
      <sheetName val="CAP 5"/>
      <sheetName val="CAP 6"/>
      <sheetName val="CAP 7"/>
      <sheetName val="CAP 8"/>
      <sheetName val="CAP 9"/>
      <sheetName val="CAP 10"/>
      <sheetName val="CAP 11"/>
      <sheetName val="CAP 12"/>
      <sheetName val="CAP 13"/>
      <sheetName val="CAP 14"/>
      <sheetName val="CAP 15"/>
      <sheetName val="CAP 16"/>
      <sheetName val="CAP 17"/>
      <sheetName val="CAP 18"/>
      <sheetName val="CAP 19"/>
      <sheetName val="CAP 20"/>
      <sheetName val="CAP 21"/>
      <sheetName val="CAP 22"/>
      <sheetName val="Hoja8"/>
    </sheetNames>
    <sheetDataSet>
      <sheetData sheetId="0" refreshError="1"/>
      <sheetData sheetId="1" refreshError="1"/>
      <sheetData sheetId="2"/>
      <sheetData sheetId="3" refreshError="1"/>
      <sheetData sheetId="4" refreshError="1"/>
      <sheetData sheetId="5"/>
      <sheetData sheetId="6" refreshError="1"/>
      <sheetData sheetId="7" refreshError="1"/>
      <sheetData sheetId="8" refreshError="1"/>
      <sheetData sheetId="9" refreshError="1"/>
      <sheetData sheetId="10">
        <row r="16">
          <cell r="L16">
            <v>4024.0001255500001</v>
          </cell>
        </row>
      </sheetData>
      <sheetData sheetId="11">
        <row r="13">
          <cell r="O13">
            <v>2824.3201205279997</v>
          </cell>
        </row>
        <row r="25">
          <cell r="M25">
            <v>188.61700000000002</v>
          </cell>
        </row>
        <row r="37">
          <cell r="M37">
            <v>100.07999999999998</v>
          </cell>
        </row>
        <row r="54">
          <cell r="K54">
            <v>1</v>
          </cell>
        </row>
        <row r="68">
          <cell r="K68">
            <v>1</v>
          </cell>
        </row>
        <row r="86">
          <cell r="M86">
            <v>103.935</v>
          </cell>
        </row>
        <row r="101">
          <cell r="M101">
            <v>22.14</v>
          </cell>
        </row>
        <row r="116">
          <cell r="L116">
            <v>61.5</v>
          </cell>
        </row>
        <row r="131">
          <cell r="L131">
            <v>61.5</v>
          </cell>
        </row>
        <row r="145">
          <cell r="L145">
            <v>8.5399999999999991</v>
          </cell>
        </row>
        <row r="161">
          <cell r="L161">
            <v>59.769999999999996</v>
          </cell>
        </row>
        <row r="174">
          <cell r="K174">
            <v>3</v>
          </cell>
        </row>
        <row r="187">
          <cell r="L187">
            <v>14.3</v>
          </cell>
        </row>
        <row r="199">
          <cell r="K199">
            <v>1</v>
          </cell>
        </row>
        <row r="213">
          <cell r="M213">
            <v>3441.12</v>
          </cell>
        </row>
      </sheetData>
      <sheetData sheetId="12">
        <row r="14">
          <cell r="L14">
            <v>15.336</v>
          </cell>
        </row>
        <row r="29">
          <cell r="L29">
            <v>15.336</v>
          </cell>
        </row>
        <row r="45">
          <cell r="L45">
            <v>46.998000000000005</v>
          </cell>
        </row>
        <row r="59">
          <cell r="L59">
            <v>48.317999999999998</v>
          </cell>
        </row>
        <row r="71">
          <cell r="L71">
            <v>41.686799999999998</v>
          </cell>
        </row>
        <row r="88">
          <cell r="K88">
            <v>407.06400000000002</v>
          </cell>
        </row>
        <row r="102">
          <cell r="K102">
            <v>407.06400000000002</v>
          </cell>
        </row>
        <row r="117">
          <cell r="K117">
            <v>407.06400000000002</v>
          </cell>
        </row>
        <row r="134">
          <cell r="L134">
            <v>4293.0856000000003</v>
          </cell>
        </row>
        <row r="149">
          <cell r="L149">
            <v>4797.6008000000002</v>
          </cell>
        </row>
        <row r="165">
          <cell r="L165">
            <v>6158.1695</v>
          </cell>
        </row>
        <row r="181">
          <cell r="L181">
            <v>6158.1695</v>
          </cell>
        </row>
        <row r="196">
          <cell r="L196">
            <v>4577.7825000000003</v>
          </cell>
        </row>
        <row r="211">
          <cell r="L211">
            <v>5990.9959999999992</v>
          </cell>
        </row>
        <row r="226">
          <cell r="L226">
            <v>5990.9959999999992</v>
          </cell>
        </row>
        <row r="241">
          <cell r="L241">
            <v>6027.62</v>
          </cell>
        </row>
        <row r="261">
          <cell r="L261">
            <v>21.167999999999999</v>
          </cell>
        </row>
        <row r="276">
          <cell r="L276">
            <v>21.167999999999999</v>
          </cell>
        </row>
        <row r="291">
          <cell r="L291">
            <v>46.036800000000007</v>
          </cell>
        </row>
        <row r="304">
          <cell r="L304">
            <v>46.036800000000007</v>
          </cell>
        </row>
        <row r="316">
          <cell r="L316">
            <v>45.441600000000001</v>
          </cell>
        </row>
        <row r="334">
          <cell r="K334">
            <v>418.81039999999996</v>
          </cell>
        </row>
        <row r="350">
          <cell r="K350">
            <v>418.81039999999996</v>
          </cell>
        </row>
        <row r="366">
          <cell r="K366">
            <v>446.46999999999997</v>
          </cell>
        </row>
        <row r="383">
          <cell r="L383">
            <v>6013.2880000000005</v>
          </cell>
        </row>
        <row r="398">
          <cell r="L398">
            <v>6013.2880000000005</v>
          </cell>
        </row>
        <row r="414">
          <cell r="L414">
            <v>5834.2001</v>
          </cell>
        </row>
        <row r="430">
          <cell r="L430">
            <v>5834.2001</v>
          </cell>
        </row>
        <row r="446">
          <cell r="L446">
            <v>5348.9066000000003</v>
          </cell>
        </row>
        <row r="461">
          <cell r="L461">
            <v>6090.3359999999993</v>
          </cell>
        </row>
        <row r="476">
          <cell r="L476">
            <v>6090.3359999999993</v>
          </cell>
        </row>
        <row r="491">
          <cell r="L491">
            <v>6049.7599999999993</v>
          </cell>
        </row>
        <row r="506">
          <cell r="L506">
            <v>6034.2000000000007</v>
          </cell>
        </row>
        <row r="524">
          <cell r="L524">
            <v>33.574080000000002</v>
          </cell>
        </row>
      </sheetData>
      <sheetData sheetId="13">
        <row r="14">
          <cell r="L14">
            <v>321.536</v>
          </cell>
        </row>
        <row r="29">
          <cell r="L29">
            <v>321.536</v>
          </cell>
        </row>
        <row r="44">
          <cell r="L44">
            <v>446.84359999999998</v>
          </cell>
        </row>
      </sheetData>
      <sheetData sheetId="14">
        <row r="13">
          <cell r="K13">
            <v>73.2</v>
          </cell>
        </row>
        <row r="27">
          <cell r="K27">
            <v>73.2</v>
          </cell>
        </row>
        <row r="41">
          <cell r="K41">
            <v>40.380000000000003</v>
          </cell>
        </row>
        <row r="59">
          <cell r="K59">
            <v>54.900000000000006</v>
          </cell>
        </row>
        <row r="73">
          <cell r="K73">
            <v>109.80000000000001</v>
          </cell>
        </row>
        <row r="87">
          <cell r="K87">
            <v>109.80000000000001</v>
          </cell>
        </row>
        <row r="102">
          <cell r="K102">
            <v>74.17</v>
          </cell>
        </row>
        <row r="117">
          <cell r="K117">
            <v>3.9959999999999996</v>
          </cell>
        </row>
        <row r="135">
          <cell r="K135">
            <v>36.6</v>
          </cell>
        </row>
        <row r="149">
          <cell r="K149">
            <v>109.80000000000001</v>
          </cell>
        </row>
        <row r="163">
          <cell r="K163">
            <v>109.80000000000001</v>
          </cell>
        </row>
        <row r="177">
          <cell r="K177">
            <v>109.80000000000001</v>
          </cell>
        </row>
        <row r="193">
          <cell r="K193">
            <v>51.58</v>
          </cell>
        </row>
        <row r="211">
          <cell r="K211">
            <v>18.3</v>
          </cell>
        </row>
        <row r="225">
          <cell r="K225">
            <v>146.4</v>
          </cell>
        </row>
        <row r="239">
          <cell r="K239">
            <v>146.4</v>
          </cell>
        </row>
        <row r="253">
          <cell r="K253">
            <v>146.4</v>
          </cell>
        </row>
        <row r="268">
          <cell r="K268">
            <v>132.79999999999998</v>
          </cell>
        </row>
      </sheetData>
      <sheetData sheetId="15">
        <row r="12">
          <cell r="J12">
            <v>1</v>
          </cell>
        </row>
        <row r="21">
          <cell r="J21">
            <v>1</v>
          </cell>
        </row>
        <row r="32">
          <cell r="J32">
            <v>287.32</v>
          </cell>
        </row>
        <row r="41">
          <cell r="J41">
            <v>111.21</v>
          </cell>
        </row>
        <row r="50">
          <cell r="J50">
            <v>133.55000000000001</v>
          </cell>
        </row>
        <row r="59">
          <cell r="J59">
            <v>63.73</v>
          </cell>
        </row>
        <row r="68">
          <cell r="J68">
            <v>7</v>
          </cell>
        </row>
        <row r="77">
          <cell r="J77">
            <v>5</v>
          </cell>
        </row>
        <row r="86">
          <cell r="J86">
            <v>122</v>
          </cell>
        </row>
        <row r="95">
          <cell r="J95">
            <v>18</v>
          </cell>
        </row>
        <row r="104">
          <cell r="J104">
            <v>1</v>
          </cell>
        </row>
        <row r="113">
          <cell r="J113">
            <v>1</v>
          </cell>
        </row>
        <row r="122">
          <cell r="J122">
            <v>1</v>
          </cell>
        </row>
        <row r="131">
          <cell r="J131">
            <v>1</v>
          </cell>
        </row>
        <row r="142">
          <cell r="J142">
            <v>2</v>
          </cell>
        </row>
        <row r="151">
          <cell r="J151">
            <v>2</v>
          </cell>
        </row>
        <row r="166">
          <cell r="J166">
            <v>348.9</v>
          </cell>
        </row>
        <row r="175">
          <cell r="J175">
            <v>68.19</v>
          </cell>
        </row>
        <row r="184">
          <cell r="J184">
            <v>35.46</v>
          </cell>
        </row>
        <row r="193">
          <cell r="J193">
            <v>56</v>
          </cell>
        </row>
        <row r="202">
          <cell r="J202">
            <v>71</v>
          </cell>
        </row>
        <row r="211">
          <cell r="J211">
            <v>8</v>
          </cell>
        </row>
        <row r="220">
          <cell r="J220">
            <v>1</v>
          </cell>
        </row>
        <row r="229">
          <cell r="J229">
            <v>1</v>
          </cell>
        </row>
        <row r="238">
          <cell r="J238">
            <v>1</v>
          </cell>
        </row>
        <row r="249">
          <cell r="J249">
            <v>251.7</v>
          </cell>
        </row>
        <row r="259">
          <cell r="J259">
            <v>2</v>
          </cell>
        </row>
        <row r="268">
          <cell r="J268">
            <v>2</v>
          </cell>
        </row>
        <row r="282">
          <cell r="J282">
            <v>54</v>
          </cell>
        </row>
        <row r="291">
          <cell r="J291">
            <v>8</v>
          </cell>
        </row>
        <row r="300">
          <cell r="J300">
            <v>8</v>
          </cell>
        </row>
        <row r="312">
          <cell r="J312">
            <v>2</v>
          </cell>
        </row>
        <row r="321">
          <cell r="J321">
            <v>6</v>
          </cell>
        </row>
        <row r="330">
          <cell r="J330">
            <v>8</v>
          </cell>
        </row>
        <row r="339">
          <cell r="J339">
            <v>8</v>
          </cell>
        </row>
        <row r="348">
          <cell r="J348">
            <v>8</v>
          </cell>
        </row>
        <row r="357">
          <cell r="J357">
            <v>2</v>
          </cell>
        </row>
        <row r="366">
          <cell r="J366">
            <v>16</v>
          </cell>
        </row>
        <row r="375">
          <cell r="J375">
            <v>6</v>
          </cell>
        </row>
        <row r="384">
          <cell r="J384">
            <v>21</v>
          </cell>
        </row>
        <row r="393">
          <cell r="J393">
            <v>3</v>
          </cell>
        </row>
        <row r="405">
          <cell r="J405">
            <v>5</v>
          </cell>
        </row>
        <row r="414">
          <cell r="J414">
            <v>5</v>
          </cell>
        </row>
        <row r="423">
          <cell r="J423">
            <v>9</v>
          </cell>
        </row>
        <row r="432">
          <cell r="J432">
            <v>7</v>
          </cell>
        </row>
        <row r="441">
          <cell r="J441">
            <v>9</v>
          </cell>
        </row>
        <row r="450">
          <cell r="J450">
            <v>7</v>
          </cell>
        </row>
        <row r="459">
          <cell r="J459">
            <v>56</v>
          </cell>
        </row>
        <row r="471">
          <cell r="J471">
            <v>30</v>
          </cell>
        </row>
        <row r="480">
          <cell r="J480">
            <v>8</v>
          </cell>
        </row>
        <row r="489">
          <cell r="J489">
            <v>8</v>
          </cell>
        </row>
        <row r="498">
          <cell r="J498">
            <v>4</v>
          </cell>
        </row>
        <row r="507">
          <cell r="J507">
            <v>4</v>
          </cell>
        </row>
        <row r="519">
          <cell r="J519">
            <v>2</v>
          </cell>
        </row>
        <row r="528">
          <cell r="J528">
            <v>1</v>
          </cell>
        </row>
        <row r="537">
          <cell r="J537">
            <v>2</v>
          </cell>
        </row>
        <row r="546">
          <cell r="J546">
            <v>2</v>
          </cell>
        </row>
        <row r="558">
          <cell r="J558">
            <v>8</v>
          </cell>
        </row>
        <row r="570">
          <cell r="J570">
            <v>1</v>
          </cell>
        </row>
        <row r="581">
          <cell r="J581">
            <v>1</v>
          </cell>
        </row>
        <row r="590">
          <cell r="J590">
            <v>12</v>
          </cell>
        </row>
        <row r="599">
          <cell r="J599">
            <v>3</v>
          </cell>
        </row>
        <row r="608">
          <cell r="J608">
            <v>40</v>
          </cell>
        </row>
        <row r="617">
          <cell r="J617">
            <v>1</v>
          </cell>
        </row>
        <row r="626">
          <cell r="J626">
            <v>2</v>
          </cell>
        </row>
        <row r="635">
          <cell r="J635">
            <v>10</v>
          </cell>
        </row>
        <row r="644">
          <cell r="J644">
            <v>4</v>
          </cell>
        </row>
        <row r="653">
          <cell r="J653">
            <v>1</v>
          </cell>
        </row>
        <row r="662">
          <cell r="J662">
            <v>1</v>
          </cell>
        </row>
        <row r="676">
          <cell r="J676">
            <v>494</v>
          </cell>
        </row>
        <row r="685">
          <cell r="J685">
            <v>19</v>
          </cell>
        </row>
        <row r="694">
          <cell r="J694">
            <v>24</v>
          </cell>
        </row>
        <row r="705">
          <cell r="J705">
            <v>200</v>
          </cell>
        </row>
        <row r="714">
          <cell r="J714">
            <v>60</v>
          </cell>
        </row>
        <row r="723">
          <cell r="J723">
            <v>65</v>
          </cell>
        </row>
        <row r="732">
          <cell r="J732">
            <v>45</v>
          </cell>
        </row>
        <row r="741">
          <cell r="J741">
            <v>36</v>
          </cell>
        </row>
        <row r="750">
          <cell r="J750">
            <v>102</v>
          </cell>
        </row>
        <row r="759">
          <cell r="J759">
            <v>14</v>
          </cell>
        </row>
        <row r="768">
          <cell r="J768">
            <v>50</v>
          </cell>
        </row>
        <row r="777">
          <cell r="J777">
            <v>5</v>
          </cell>
        </row>
        <row r="786">
          <cell r="J786">
            <v>15</v>
          </cell>
        </row>
        <row r="795">
          <cell r="J795">
            <v>58</v>
          </cell>
        </row>
        <row r="807">
          <cell r="J807">
            <v>280</v>
          </cell>
        </row>
        <row r="816">
          <cell r="J816">
            <v>170</v>
          </cell>
        </row>
        <row r="827">
          <cell r="J827">
            <v>4</v>
          </cell>
        </row>
        <row r="836">
          <cell r="J836">
            <v>3</v>
          </cell>
        </row>
        <row r="845">
          <cell r="J845">
            <v>4</v>
          </cell>
        </row>
        <row r="857">
          <cell r="J857">
            <v>5</v>
          </cell>
        </row>
        <row r="868">
          <cell r="J868">
            <v>1</v>
          </cell>
        </row>
        <row r="877">
          <cell r="J877">
            <v>1</v>
          </cell>
        </row>
        <row r="886">
          <cell r="J886">
            <v>8</v>
          </cell>
        </row>
      </sheetData>
      <sheetData sheetId="16">
        <row r="12">
          <cell r="J12">
            <v>686</v>
          </cell>
        </row>
        <row r="21">
          <cell r="J21">
            <v>100</v>
          </cell>
        </row>
        <row r="30">
          <cell r="J30">
            <v>30</v>
          </cell>
        </row>
        <row r="40">
          <cell r="J40">
            <v>18</v>
          </cell>
        </row>
        <row r="49">
          <cell r="J49">
            <v>18</v>
          </cell>
        </row>
        <row r="59">
          <cell r="J59">
            <v>308</v>
          </cell>
        </row>
        <row r="68">
          <cell r="J68">
            <v>27</v>
          </cell>
        </row>
        <row r="77">
          <cell r="J77">
            <v>90</v>
          </cell>
        </row>
        <row r="86">
          <cell r="J86">
            <v>104</v>
          </cell>
        </row>
        <row r="95">
          <cell r="J95">
            <v>9</v>
          </cell>
        </row>
        <row r="104">
          <cell r="J104">
            <v>32</v>
          </cell>
        </row>
        <row r="113">
          <cell r="J113">
            <v>1</v>
          </cell>
        </row>
        <row r="124">
          <cell r="J124">
            <v>80</v>
          </cell>
        </row>
        <row r="133">
          <cell r="J133">
            <v>55</v>
          </cell>
        </row>
        <row r="142">
          <cell r="J142">
            <v>65</v>
          </cell>
        </row>
        <row r="151">
          <cell r="J151">
            <v>65</v>
          </cell>
        </row>
        <row r="160">
          <cell r="J160">
            <v>78</v>
          </cell>
        </row>
        <row r="169">
          <cell r="J169">
            <v>70</v>
          </cell>
        </row>
        <row r="178">
          <cell r="J178">
            <v>11</v>
          </cell>
        </row>
        <row r="187">
          <cell r="J187">
            <v>65</v>
          </cell>
        </row>
        <row r="196">
          <cell r="J196">
            <v>45</v>
          </cell>
        </row>
        <row r="205">
          <cell r="J205">
            <v>5</v>
          </cell>
        </row>
        <row r="214">
          <cell r="J214">
            <v>45</v>
          </cell>
        </row>
        <row r="223">
          <cell r="J223">
            <v>46</v>
          </cell>
        </row>
        <row r="232">
          <cell r="J232">
            <v>71</v>
          </cell>
        </row>
        <row r="241">
          <cell r="J241">
            <v>51</v>
          </cell>
        </row>
        <row r="250">
          <cell r="J250">
            <v>58</v>
          </cell>
        </row>
        <row r="259">
          <cell r="J259">
            <v>56</v>
          </cell>
        </row>
        <row r="268">
          <cell r="J268">
            <v>63</v>
          </cell>
        </row>
        <row r="277">
          <cell r="J277">
            <v>36</v>
          </cell>
        </row>
        <row r="286">
          <cell r="J286">
            <v>5</v>
          </cell>
        </row>
        <row r="295">
          <cell r="J295">
            <v>17</v>
          </cell>
        </row>
        <row r="304">
          <cell r="J304">
            <v>20</v>
          </cell>
        </row>
        <row r="313">
          <cell r="J313">
            <v>31</v>
          </cell>
        </row>
        <row r="322">
          <cell r="J322">
            <v>25</v>
          </cell>
        </row>
        <row r="331">
          <cell r="J331">
            <v>36</v>
          </cell>
        </row>
        <row r="340">
          <cell r="J340">
            <v>35</v>
          </cell>
        </row>
        <row r="349">
          <cell r="J349">
            <v>44</v>
          </cell>
        </row>
        <row r="358">
          <cell r="J358">
            <v>25</v>
          </cell>
        </row>
        <row r="367">
          <cell r="J367">
            <v>30</v>
          </cell>
        </row>
        <row r="376">
          <cell r="J376">
            <v>35</v>
          </cell>
        </row>
        <row r="385">
          <cell r="J385">
            <v>10</v>
          </cell>
        </row>
        <row r="394">
          <cell r="J394">
            <v>39</v>
          </cell>
        </row>
        <row r="403">
          <cell r="J403">
            <v>20</v>
          </cell>
        </row>
        <row r="412">
          <cell r="J412">
            <v>25</v>
          </cell>
        </row>
        <row r="421">
          <cell r="J421">
            <v>25</v>
          </cell>
        </row>
        <row r="430">
          <cell r="J430">
            <v>10</v>
          </cell>
        </row>
        <row r="439">
          <cell r="J439">
            <v>55</v>
          </cell>
        </row>
        <row r="448">
          <cell r="J448">
            <v>116</v>
          </cell>
        </row>
        <row r="457">
          <cell r="J457">
            <v>78</v>
          </cell>
        </row>
        <row r="466">
          <cell r="J466">
            <v>55</v>
          </cell>
        </row>
        <row r="475">
          <cell r="J475">
            <v>20</v>
          </cell>
        </row>
        <row r="484">
          <cell r="J484">
            <v>80</v>
          </cell>
        </row>
        <row r="493">
          <cell r="J493">
            <v>100</v>
          </cell>
        </row>
        <row r="502">
          <cell r="J502">
            <v>73</v>
          </cell>
        </row>
        <row r="511">
          <cell r="J511">
            <v>224</v>
          </cell>
        </row>
        <row r="520">
          <cell r="J520">
            <v>300</v>
          </cell>
        </row>
        <row r="529">
          <cell r="J529">
            <v>80</v>
          </cell>
        </row>
        <row r="538">
          <cell r="J538">
            <v>45</v>
          </cell>
        </row>
        <row r="547">
          <cell r="J547">
            <v>61</v>
          </cell>
        </row>
        <row r="556">
          <cell r="J556">
            <v>8</v>
          </cell>
        </row>
        <row r="565">
          <cell r="J565">
            <v>14</v>
          </cell>
        </row>
        <row r="574">
          <cell r="J574">
            <v>16</v>
          </cell>
        </row>
        <row r="583">
          <cell r="J583">
            <v>20</v>
          </cell>
        </row>
        <row r="592">
          <cell r="J592">
            <v>10</v>
          </cell>
        </row>
        <row r="601">
          <cell r="J601">
            <v>10</v>
          </cell>
        </row>
        <row r="611">
          <cell r="J611">
            <v>180</v>
          </cell>
        </row>
        <row r="620">
          <cell r="J620">
            <v>200</v>
          </cell>
        </row>
        <row r="629">
          <cell r="J629">
            <v>500</v>
          </cell>
        </row>
        <row r="639">
          <cell r="J639">
            <v>12</v>
          </cell>
        </row>
        <row r="648">
          <cell r="J648">
            <v>2</v>
          </cell>
        </row>
        <row r="657">
          <cell r="J657">
            <v>2</v>
          </cell>
        </row>
        <row r="668">
          <cell r="J668">
            <v>12</v>
          </cell>
        </row>
        <row r="677">
          <cell r="J677">
            <v>8</v>
          </cell>
        </row>
        <row r="686">
          <cell r="J686">
            <v>13</v>
          </cell>
        </row>
        <row r="695">
          <cell r="J695">
            <v>8</v>
          </cell>
        </row>
        <row r="704">
          <cell r="J704">
            <v>2</v>
          </cell>
        </row>
        <row r="715">
          <cell r="J715">
            <v>1</v>
          </cell>
        </row>
        <row r="724">
          <cell r="J724">
            <v>80</v>
          </cell>
        </row>
        <row r="733">
          <cell r="J733">
            <v>186</v>
          </cell>
        </row>
        <row r="742">
          <cell r="J742">
            <v>18</v>
          </cell>
        </row>
        <row r="751">
          <cell r="J751">
            <v>38</v>
          </cell>
        </row>
        <row r="760">
          <cell r="J760">
            <v>5</v>
          </cell>
        </row>
        <row r="769">
          <cell r="J769">
            <v>24</v>
          </cell>
        </row>
        <row r="778">
          <cell r="J778">
            <v>12</v>
          </cell>
        </row>
        <row r="789">
          <cell r="J789">
            <v>1</v>
          </cell>
        </row>
        <row r="798">
          <cell r="J798">
            <v>1</v>
          </cell>
        </row>
        <row r="807">
          <cell r="J807">
            <v>1</v>
          </cell>
        </row>
        <row r="816">
          <cell r="J816">
            <v>1</v>
          </cell>
        </row>
        <row r="825">
          <cell r="J825">
            <v>1</v>
          </cell>
        </row>
        <row r="834">
          <cell r="J834">
            <v>1</v>
          </cell>
        </row>
        <row r="843">
          <cell r="J843">
            <v>1</v>
          </cell>
        </row>
        <row r="852">
          <cell r="J852">
            <v>1</v>
          </cell>
        </row>
        <row r="861">
          <cell r="J861">
            <v>1</v>
          </cell>
        </row>
        <row r="872">
          <cell r="J872">
            <v>1</v>
          </cell>
        </row>
        <row r="881">
          <cell r="J881">
            <v>1</v>
          </cell>
        </row>
        <row r="890">
          <cell r="J890">
            <v>2</v>
          </cell>
        </row>
        <row r="899">
          <cell r="J899">
            <v>1</v>
          </cell>
        </row>
        <row r="908">
          <cell r="J908">
            <v>1</v>
          </cell>
        </row>
        <row r="917">
          <cell r="J917">
            <v>1</v>
          </cell>
        </row>
        <row r="926">
          <cell r="J926">
            <v>1</v>
          </cell>
        </row>
        <row r="935">
          <cell r="J935">
            <v>1</v>
          </cell>
        </row>
        <row r="944">
          <cell r="J944">
            <v>1</v>
          </cell>
        </row>
        <row r="955">
          <cell r="J955">
            <v>1</v>
          </cell>
        </row>
        <row r="966">
          <cell r="J966">
            <v>50</v>
          </cell>
        </row>
        <row r="977">
          <cell r="J977">
            <v>60</v>
          </cell>
        </row>
        <row r="986">
          <cell r="J986">
            <v>50</v>
          </cell>
        </row>
        <row r="997">
          <cell r="J997">
            <v>1</v>
          </cell>
        </row>
        <row r="1008">
          <cell r="J1008">
            <v>100</v>
          </cell>
        </row>
        <row r="1017">
          <cell r="J1017">
            <v>44</v>
          </cell>
        </row>
        <row r="1026">
          <cell r="J1026">
            <v>389</v>
          </cell>
        </row>
        <row r="1035">
          <cell r="J1035">
            <v>21</v>
          </cell>
        </row>
        <row r="1044">
          <cell r="J1044">
            <v>21</v>
          </cell>
        </row>
        <row r="1053">
          <cell r="J1053">
            <v>1</v>
          </cell>
        </row>
        <row r="1062">
          <cell r="J1062">
            <v>224</v>
          </cell>
        </row>
        <row r="1071">
          <cell r="J1071">
            <v>6</v>
          </cell>
        </row>
        <row r="1080">
          <cell r="J1080">
            <v>2</v>
          </cell>
        </row>
        <row r="1089">
          <cell r="J1089">
            <v>1</v>
          </cell>
        </row>
        <row r="1101">
          <cell r="J1101">
            <v>1</v>
          </cell>
        </row>
        <row r="1110">
          <cell r="J1110">
            <v>1</v>
          </cell>
        </row>
        <row r="1119">
          <cell r="J1119">
            <v>4</v>
          </cell>
        </row>
        <row r="1129">
          <cell r="J1129">
            <v>60</v>
          </cell>
        </row>
        <row r="1139">
          <cell r="J1139">
            <v>1</v>
          </cell>
        </row>
        <row r="1148">
          <cell r="J1148">
            <v>1</v>
          </cell>
        </row>
        <row r="1157">
          <cell r="J1157">
            <v>1</v>
          </cell>
        </row>
        <row r="1167">
          <cell r="J1167">
            <v>60</v>
          </cell>
        </row>
        <row r="1177">
          <cell r="J1177">
            <v>25</v>
          </cell>
        </row>
        <row r="1188">
          <cell r="J1188">
            <v>1</v>
          </cell>
        </row>
        <row r="1198">
          <cell r="J1198">
            <v>1</v>
          </cell>
        </row>
        <row r="1208">
          <cell r="J1208">
            <v>1</v>
          </cell>
        </row>
        <row r="1220">
          <cell r="J1220">
            <v>2</v>
          </cell>
        </row>
        <row r="1229">
          <cell r="J1229">
            <v>1</v>
          </cell>
        </row>
        <row r="1238">
          <cell r="J1238">
            <v>1</v>
          </cell>
        </row>
        <row r="1248">
          <cell r="J1248">
            <v>1</v>
          </cell>
        </row>
        <row r="1260">
          <cell r="J1260">
            <v>1</v>
          </cell>
        </row>
        <row r="1270">
          <cell r="J1270">
            <v>2</v>
          </cell>
        </row>
        <row r="1280">
          <cell r="J1280">
            <v>2</v>
          </cell>
        </row>
        <row r="1290">
          <cell r="J1290">
            <v>250</v>
          </cell>
        </row>
        <row r="1300">
          <cell r="J1300">
            <v>2</v>
          </cell>
        </row>
        <row r="1310">
          <cell r="J1310">
            <v>1</v>
          </cell>
        </row>
        <row r="1319">
          <cell r="J1319">
            <v>1</v>
          </cell>
        </row>
        <row r="1331">
          <cell r="J1331">
            <v>26</v>
          </cell>
        </row>
        <row r="1340">
          <cell r="J1340">
            <v>25</v>
          </cell>
        </row>
        <row r="1349">
          <cell r="J1349">
            <v>25</v>
          </cell>
        </row>
        <row r="1358">
          <cell r="J1358">
            <v>25</v>
          </cell>
        </row>
        <row r="1368">
          <cell r="J1368">
            <v>1054</v>
          </cell>
        </row>
        <row r="1377">
          <cell r="J1377">
            <v>51</v>
          </cell>
        </row>
        <row r="1387">
          <cell r="J1387">
            <v>52</v>
          </cell>
        </row>
        <row r="1396">
          <cell r="J1396">
            <v>56</v>
          </cell>
        </row>
        <row r="1405">
          <cell r="J1405">
            <v>75</v>
          </cell>
        </row>
        <row r="1414">
          <cell r="J1414">
            <v>77</v>
          </cell>
        </row>
        <row r="1424">
          <cell r="J1424">
            <v>22</v>
          </cell>
        </row>
        <row r="1433">
          <cell r="J1433">
            <v>27</v>
          </cell>
        </row>
        <row r="1445">
          <cell r="J1445">
            <v>347</v>
          </cell>
        </row>
        <row r="1455">
          <cell r="J1455">
            <v>75</v>
          </cell>
        </row>
        <row r="1465">
          <cell r="J1465">
            <v>27</v>
          </cell>
        </row>
        <row r="1475">
          <cell r="J1475">
            <v>47</v>
          </cell>
        </row>
        <row r="1485">
          <cell r="J1485">
            <v>17</v>
          </cell>
        </row>
        <row r="1495">
          <cell r="J1495">
            <v>29</v>
          </cell>
        </row>
        <row r="1505">
          <cell r="J1505">
            <v>14</v>
          </cell>
        </row>
        <row r="1515">
          <cell r="J1515">
            <v>58</v>
          </cell>
        </row>
        <row r="1525">
          <cell r="J1525">
            <v>42</v>
          </cell>
        </row>
        <row r="1535">
          <cell r="J1535">
            <v>30</v>
          </cell>
        </row>
        <row r="1545">
          <cell r="J1545">
            <v>22</v>
          </cell>
        </row>
        <row r="1554">
          <cell r="J1554">
            <v>4</v>
          </cell>
        </row>
      </sheetData>
      <sheetData sheetId="17">
        <row r="11">
          <cell r="J11">
            <v>6</v>
          </cell>
        </row>
        <row r="20">
          <cell r="J20">
            <v>3</v>
          </cell>
        </row>
        <row r="29">
          <cell r="J29">
            <v>270</v>
          </cell>
        </row>
        <row r="38">
          <cell r="J38">
            <v>36</v>
          </cell>
        </row>
        <row r="47">
          <cell r="J47">
            <v>6</v>
          </cell>
        </row>
        <row r="56">
          <cell r="J56">
            <v>165</v>
          </cell>
        </row>
        <row r="65">
          <cell r="J65">
            <v>24</v>
          </cell>
        </row>
        <row r="77">
          <cell r="J77">
            <v>3</v>
          </cell>
        </row>
        <row r="86">
          <cell r="J86">
            <v>366</v>
          </cell>
        </row>
        <row r="95">
          <cell r="J95">
            <v>48</v>
          </cell>
        </row>
        <row r="104">
          <cell r="J104">
            <v>6</v>
          </cell>
        </row>
        <row r="113">
          <cell r="J113">
            <v>120</v>
          </cell>
        </row>
        <row r="122">
          <cell r="J122">
            <v>3</v>
          </cell>
        </row>
        <row r="131">
          <cell r="J131">
            <v>30</v>
          </cell>
        </row>
        <row r="140">
          <cell r="J140">
            <v>3</v>
          </cell>
        </row>
        <row r="149">
          <cell r="J149">
            <v>30</v>
          </cell>
        </row>
        <row r="163">
          <cell r="J163">
            <v>2</v>
          </cell>
        </row>
        <row r="172">
          <cell r="J172">
            <v>9</v>
          </cell>
        </row>
        <row r="181">
          <cell r="J181">
            <v>4</v>
          </cell>
        </row>
        <row r="192">
          <cell r="J192">
            <v>248</v>
          </cell>
        </row>
        <row r="201">
          <cell r="J201">
            <v>50</v>
          </cell>
        </row>
        <row r="210">
          <cell r="J210">
            <v>10</v>
          </cell>
        </row>
        <row r="219">
          <cell r="J219">
            <v>147</v>
          </cell>
        </row>
        <row r="228">
          <cell r="J228">
            <v>28</v>
          </cell>
        </row>
        <row r="239">
          <cell r="J239">
            <v>4</v>
          </cell>
        </row>
        <row r="248">
          <cell r="J248">
            <v>1</v>
          </cell>
        </row>
        <row r="258">
          <cell r="J258">
            <v>283</v>
          </cell>
        </row>
        <row r="267">
          <cell r="J267">
            <v>44</v>
          </cell>
        </row>
        <row r="276">
          <cell r="J276">
            <v>10</v>
          </cell>
        </row>
        <row r="285">
          <cell r="J285">
            <v>50</v>
          </cell>
        </row>
        <row r="294">
          <cell r="J294">
            <v>5</v>
          </cell>
        </row>
        <row r="303">
          <cell r="J303">
            <v>144</v>
          </cell>
        </row>
        <row r="316">
          <cell r="J316">
            <v>12</v>
          </cell>
        </row>
        <row r="325">
          <cell r="J325">
            <v>4</v>
          </cell>
        </row>
        <row r="334">
          <cell r="J334">
            <v>2</v>
          </cell>
        </row>
        <row r="345">
          <cell r="J345">
            <v>335</v>
          </cell>
        </row>
        <row r="354">
          <cell r="J354">
            <v>54</v>
          </cell>
        </row>
        <row r="363">
          <cell r="J363">
            <v>12</v>
          </cell>
        </row>
        <row r="372">
          <cell r="J372">
            <v>115</v>
          </cell>
        </row>
        <row r="381">
          <cell r="J381">
            <v>24</v>
          </cell>
        </row>
        <row r="392">
          <cell r="J392">
            <v>6</v>
          </cell>
        </row>
        <row r="401">
          <cell r="J401">
            <v>300</v>
          </cell>
        </row>
        <row r="410">
          <cell r="J410">
            <v>44</v>
          </cell>
        </row>
        <row r="419">
          <cell r="J419">
            <v>12</v>
          </cell>
        </row>
        <row r="428">
          <cell r="J428">
            <v>80</v>
          </cell>
        </row>
        <row r="437">
          <cell r="J437">
            <v>6</v>
          </cell>
        </row>
        <row r="446">
          <cell r="J446">
            <v>155</v>
          </cell>
        </row>
        <row r="457">
          <cell r="J457">
            <v>14</v>
          </cell>
        </row>
        <row r="466">
          <cell r="J466">
            <v>255</v>
          </cell>
        </row>
        <row r="475">
          <cell r="J475">
            <v>26</v>
          </cell>
        </row>
        <row r="489">
          <cell r="J489">
            <v>6</v>
          </cell>
        </row>
        <row r="498">
          <cell r="J498">
            <v>240</v>
          </cell>
        </row>
        <row r="507">
          <cell r="J507">
            <v>48</v>
          </cell>
        </row>
        <row r="516">
          <cell r="J516">
            <v>12</v>
          </cell>
        </row>
        <row r="525">
          <cell r="J525">
            <v>180</v>
          </cell>
        </row>
        <row r="534">
          <cell r="J534">
            <v>6</v>
          </cell>
        </row>
        <row r="543">
          <cell r="J543">
            <v>60</v>
          </cell>
        </row>
        <row r="552">
          <cell r="J552">
            <v>3</v>
          </cell>
        </row>
        <row r="561">
          <cell r="J561">
            <v>30</v>
          </cell>
        </row>
      </sheetData>
      <sheetData sheetId="18">
        <row r="15">
          <cell r="K15">
            <v>239.90399999999997</v>
          </cell>
        </row>
        <row r="30">
          <cell r="K30">
            <v>223.05599999999998</v>
          </cell>
        </row>
        <row r="45">
          <cell r="K45">
            <v>61.96</v>
          </cell>
        </row>
        <row r="60">
          <cell r="K60">
            <v>61.96</v>
          </cell>
        </row>
        <row r="79">
          <cell r="K79">
            <v>199.94399999999999</v>
          </cell>
        </row>
        <row r="96">
          <cell r="K96">
            <v>513</v>
          </cell>
        </row>
        <row r="113">
          <cell r="K113">
            <v>389.01600000000002</v>
          </cell>
        </row>
        <row r="129">
          <cell r="K129">
            <v>56.54</v>
          </cell>
        </row>
        <row r="146">
          <cell r="K146">
            <v>142.5</v>
          </cell>
        </row>
        <row r="163">
          <cell r="K163">
            <v>108.05999999999999</v>
          </cell>
        </row>
        <row r="184">
          <cell r="K184">
            <v>443.7360000000001</v>
          </cell>
        </row>
        <row r="201">
          <cell r="K201">
            <v>433.36800000000011</v>
          </cell>
        </row>
        <row r="218">
          <cell r="K218">
            <v>431.20800000000014</v>
          </cell>
        </row>
        <row r="235">
          <cell r="K235">
            <v>122.66</v>
          </cell>
        </row>
        <row r="252">
          <cell r="K252">
            <v>119.77999999999999</v>
          </cell>
        </row>
        <row r="269">
          <cell r="K269">
            <v>119.77999999999999</v>
          </cell>
        </row>
        <row r="293">
          <cell r="K293">
            <v>622.79999999999995</v>
          </cell>
        </row>
        <row r="313">
          <cell r="K313">
            <v>622.79999999999995</v>
          </cell>
        </row>
        <row r="333">
          <cell r="K333">
            <v>622.79999999999995</v>
          </cell>
        </row>
        <row r="353">
          <cell r="K353">
            <v>173</v>
          </cell>
        </row>
        <row r="373">
          <cell r="K373">
            <v>173</v>
          </cell>
        </row>
        <row r="393">
          <cell r="K393">
            <v>173</v>
          </cell>
        </row>
      </sheetData>
      <sheetData sheetId="19">
        <row r="12">
          <cell r="K12">
            <v>120</v>
          </cell>
        </row>
        <row r="25">
          <cell r="K25">
            <v>418.08159999999998</v>
          </cell>
        </row>
        <row r="38">
          <cell r="K38">
            <v>403.58800000000002</v>
          </cell>
        </row>
        <row r="51">
          <cell r="K51">
            <v>445.45400000000006</v>
          </cell>
        </row>
        <row r="69">
          <cell r="K69">
            <v>57.529999999999994</v>
          </cell>
        </row>
        <row r="84">
          <cell r="K84">
            <v>108.96000000000001</v>
          </cell>
        </row>
        <row r="99">
          <cell r="K99">
            <v>113.05999999999999</v>
          </cell>
        </row>
        <row r="115">
          <cell r="K115">
            <v>129.92000000000002</v>
          </cell>
        </row>
        <row r="132">
          <cell r="K132">
            <v>120</v>
          </cell>
        </row>
        <row r="145">
          <cell r="K145">
            <v>418.08159999999998</v>
          </cell>
        </row>
        <row r="158">
          <cell r="K158">
            <v>403.58800000000002</v>
          </cell>
        </row>
        <row r="171">
          <cell r="K171">
            <v>445.45400000000006</v>
          </cell>
        </row>
      </sheetData>
      <sheetData sheetId="20">
        <row r="14">
          <cell r="K14">
            <v>223.05599999999998</v>
          </cell>
        </row>
        <row r="29">
          <cell r="K29">
            <v>223.05599999999998</v>
          </cell>
        </row>
        <row r="44">
          <cell r="K44">
            <v>223.05599999999998</v>
          </cell>
        </row>
        <row r="63">
          <cell r="K63">
            <v>138.52800000000002</v>
          </cell>
        </row>
        <row r="78">
          <cell r="K78">
            <v>498.96000000000004</v>
          </cell>
        </row>
        <row r="96">
          <cell r="K96">
            <v>734.904</v>
          </cell>
        </row>
        <row r="113">
          <cell r="K113">
            <v>519.26400000000001</v>
          </cell>
        </row>
        <row r="133">
          <cell r="K133">
            <v>792.07200000000012</v>
          </cell>
        </row>
        <row r="150">
          <cell r="K150">
            <v>600.62400000000002</v>
          </cell>
        </row>
        <row r="167">
          <cell r="K167">
            <v>637.20000000000005</v>
          </cell>
        </row>
        <row r="184">
          <cell r="K184">
            <v>637.20000000000005</v>
          </cell>
        </row>
        <row r="203">
          <cell r="K203">
            <v>640.00800000000004</v>
          </cell>
        </row>
        <row r="223">
          <cell r="K223">
            <v>744.69600000000003</v>
          </cell>
        </row>
        <row r="243">
          <cell r="K243">
            <v>744.69600000000003</v>
          </cell>
        </row>
        <row r="263">
          <cell r="K263">
            <v>744.69600000000003</v>
          </cell>
        </row>
        <row r="280">
          <cell r="K280">
            <v>113.584</v>
          </cell>
        </row>
        <row r="297">
          <cell r="K297">
            <v>3600.76</v>
          </cell>
        </row>
      </sheetData>
      <sheetData sheetId="21">
        <row r="11">
          <cell r="K11">
            <v>188.78399999999999</v>
          </cell>
        </row>
        <row r="24">
          <cell r="K24">
            <v>31.2</v>
          </cell>
        </row>
        <row r="38">
          <cell r="K38">
            <v>227.52</v>
          </cell>
        </row>
      </sheetData>
      <sheetData sheetId="22">
        <row r="11">
          <cell r="K11">
            <v>1</v>
          </cell>
        </row>
        <row r="22">
          <cell r="K22">
            <v>331.79999999999995</v>
          </cell>
        </row>
        <row r="34">
          <cell r="K34">
            <v>116.13</v>
          </cell>
        </row>
        <row r="46">
          <cell r="K46">
            <v>116.13</v>
          </cell>
        </row>
        <row r="58">
          <cell r="K58">
            <v>116.13</v>
          </cell>
        </row>
        <row r="74">
          <cell r="K74">
            <v>1</v>
          </cell>
        </row>
        <row r="87">
          <cell r="K87">
            <v>1353.74</v>
          </cell>
        </row>
        <row r="98">
          <cell r="K98">
            <v>410.62</v>
          </cell>
        </row>
        <row r="110">
          <cell r="K110">
            <v>137.69999999999999</v>
          </cell>
        </row>
        <row r="122">
          <cell r="K122">
            <v>331.5</v>
          </cell>
        </row>
        <row r="134">
          <cell r="K134">
            <v>275.73</v>
          </cell>
        </row>
        <row r="150">
          <cell r="K150">
            <v>1</v>
          </cell>
        </row>
        <row r="163">
          <cell r="K163">
            <v>1375.1699999999998</v>
          </cell>
        </row>
        <row r="174">
          <cell r="K174">
            <v>172.9</v>
          </cell>
        </row>
        <row r="186">
          <cell r="K186">
            <v>307.7</v>
          </cell>
        </row>
        <row r="198">
          <cell r="K198">
            <v>310.89999999999998</v>
          </cell>
        </row>
        <row r="210">
          <cell r="K210">
            <v>310.89999999999998</v>
          </cell>
        </row>
        <row r="226">
          <cell r="K226">
            <v>1</v>
          </cell>
        </row>
        <row r="237">
          <cell r="K237">
            <v>1337.1699999999998</v>
          </cell>
        </row>
        <row r="247">
          <cell r="K247">
            <v>341.5</v>
          </cell>
        </row>
        <row r="259">
          <cell r="K259">
            <v>339.4</v>
          </cell>
        </row>
        <row r="271">
          <cell r="K271">
            <v>346.2</v>
          </cell>
        </row>
        <row r="286">
          <cell r="L286">
            <v>992</v>
          </cell>
        </row>
        <row r="298">
          <cell r="K298">
            <v>263.02</v>
          </cell>
        </row>
        <row r="324">
          <cell r="K324">
            <v>369.6</v>
          </cell>
        </row>
        <row r="336">
          <cell r="K336">
            <v>291.5</v>
          </cell>
        </row>
        <row r="348">
          <cell r="K348">
            <v>291.5</v>
          </cell>
        </row>
        <row r="365">
          <cell r="K365">
            <v>1513.8400000000001</v>
          </cell>
        </row>
        <row r="377">
          <cell r="K377">
            <v>1551.41</v>
          </cell>
        </row>
      </sheetData>
      <sheetData sheetId="23">
        <row r="12">
          <cell r="K12">
            <v>120</v>
          </cell>
        </row>
        <row r="25">
          <cell r="K25">
            <v>418.08159999999998</v>
          </cell>
        </row>
        <row r="38">
          <cell r="K38">
            <v>403.58800000000002</v>
          </cell>
        </row>
        <row r="51">
          <cell r="K51">
            <v>445.45400000000006</v>
          </cell>
        </row>
        <row r="67">
          <cell r="K67">
            <v>54.704000000000001</v>
          </cell>
        </row>
        <row r="80">
          <cell r="K80">
            <v>54.704000000000001</v>
          </cell>
        </row>
      </sheetData>
      <sheetData sheetId="24">
        <row r="11">
          <cell r="K11">
            <v>18</v>
          </cell>
        </row>
        <row r="24">
          <cell r="J24">
            <v>1</v>
          </cell>
        </row>
        <row r="36">
          <cell r="J36">
            <v>1</v>
          </cell>
        </row>
        <row r="48">
          <cell r="J48">
            <v>1</v>
          </cell>
        </row>
        <row r="61">
          <cell r="K61">
            <v>24</v>
          </cell>
        </row>
        <row r="74">
          <cell r="J74">
            <v>2</v>
          </cell>
        </row>
        <row r="86">
          <cell r="J86">
            <v>1</v>
          </cell>
        </row>
        <row r="99">
          <cell r="K99">
            <v>24</v>
          </cell>
        </row>
        <row r="112">
          <cell r="J112">
            <v>2</v>
          </cell>
        </row>
        <row r="124">
          <cell r="J124">
            <v>1</v>
          </cell>
        </row>
        <row r="140">
          <cell r="J140">
            <v>3</v>
          </cell>
        </row>
        <row r="153">
          <cell r="K153">
            <v>18</v>
          </cell>
        </row>
        <row r="166">
          <cell r="J166">
            <v>1</v>
          </cell>
        </row>
        <row r="178">
          <cell r="J178">
            <v>7</v>
          </cell>
        </row>
        <row r="191">
          <cell r="K191">
            <v>36</v>
          </cell>
        </row>
        <row r="204">
          <cell r="J204">
            <v>2</v>
          </cell>
        </row>
        <row r="216">
          <cell r="J216">
            <v>8</v>
          </cell>
        </row>
        <row r="229">
          <cell r="K229">
            <v>36</v>
          </cell>
        </row>
        <row r="242">
          <cell r="J242">
            <v>1</v>
          </cell>
        </row>
        <row r="254">
          <cell r="J254">
            <v>2</v>
          </cell>
        </row>
        <row r="266">
          <cell r="J266">
            <v>2</v>
          </cell>
        </row>
        <row r="282">
          <cell r="K282">
            <v>6</v>
          </cell>
        </row>
        <row r="295">
          <cell r="J295">
            <v>4</v>
          </cell>
        </row>
        <row r="307">
          <cell r="J307">
            <v>2</v>
          </cell>
        </row>
        <row r="320">
          <cell r="K320">
            <v>36</v>
          </cell>
        </row>
        <row r="333">
          <cell r="J333">
            <v>2</v>
          </cell>
        </row>
        <row r="345">
          <cell r="J345">
            <v>3</v>
          </cell>
        </row>
        <row r="358">
          <cell r="K358">
            <v>36</v>
          </cell>
        </row>
        <row r="371">
          <cell r="J371">
            <v>2</v>
          </cell>
        </row>
        <row r="383">
          <cell r="J383">
            <v>4</v>
          </cell>
        </row>
        <row r="396">
          <cell r="K396">
            <v>36</v>
          </cell>
        </row>
        <row r="409">
          <cell r="J409">
            <v>2</v>
          </cell>
        </row>
        <row r="421">
          <cell r="J421">
            <v>4</v>
          </cell>
        </row>
        <row r="437">
          <cell r="K437">
            <v>6</v>
          </cell>
        </row>
        <row r="450">
          <cell r="K450">
            <v>48</v>
          </cell>
        </row>
        <row r="463">
          <cell r="J463">
            <v>4</v>
          </cell>
        </row>
        <row r="475">
          <cell r="J475">
            <v>2</v>
          </cell>
        </row>
        <row r="487">
          <cell r="J487">
            <v>1</v>
          </cell>
        </row>
        <row r="500">
          <cell r="K500">
            <v>48</v>
          </cell>
        </row>
        <row r="513">
          <cell r="J513">
            <v>4</v>
          </cell>
        </row>
        <row r="525">
          <cell r="J525">
            <v>2</v>
          </cell>
        </row>
        <row r="537">
          <cell r="J537">
            <v>1</v>
          </cell>
        </row>
        <row r="550">
          <cell r="K550">
            <v>48</v>
          </cell>
        </row>
        <row r="563">
          <cell r="J563">
            <v>4</v>
          </cell>
        </row>
        <row r="575">
          <cell r="J575">
            <v>2</v>
          </cell>
        </row>
        <row r="587">
          <cell r="J587">
            <v>1</v>
          </cell>
        </row>
        <row r="603">
          <cell r="J603">
            <v>8</v>
          </cell>
        </row>
        <row r="615">
          <cell r="J615">
            <v>34</v>
          </cell>
        </row>
        <row r="627">
          <cell r="J627">
            <v>1</v>
          </cell>
        </row>
      </sheetData>
      <sheetData sheetId="25">
        <row r="12">
          <cell r="J12">
            <v>242</v>
          </cell>
        </row>
        <row r="26">
          <cell r="J26">
            <v>93</v>
          </cell>
        </row>
        <row r="39">
          <cell r="L39">
            <v>2.6496</v>
          </cell>
        </row>
        <row r="52">
          <cell r="J52">
            <v>1</v>
          </cell>
        </row>
        <row r="64">
          <cell r="J64">
            <v>160</v>
          </cell>
        </row>
      </sheetData>
      <sheetData sheetId="26">
        <row r="12">
          <cell r="J12">
            <v>15.69</v>
          </cell>
        </row>
        <row r="26">
          <cell r="J26">
            <v>15.69</v>
          </cell>
        </row>
        <row r="43">
          <cell r="J43">
            <v>295</v>
          </cell>
        </row>
        <row r="57">
          <cell r="J57">
            <v>40.6</v>
          </cell>
        </row>
        <row r="71">
          <cell r="J71">
            <v>590.5</v>
          </cell>
        </row>
        <row r="85">
          <cell r="J85">
            <v>10.89</v>
          </cell>
        </row>
        <row r="99">
          <cell r="J99">
            <v>315.39999999999998</v>
          </cell>
        </row>
        <row r="113">
          <cell r="J113">
            <v>10.38</v>
          </cell>
        </row>
        <row r="130">
          <cell r="J130">
            <v>315.39999999999998</v>
          </cell>
        </row>
        <row r="144">
          <cell r="J144">
            <v>11.74</v>
          </cell>
        </row>
        <row r="158">
          <cell r="J158">
            <v>315.39999999999998</v>
          </cell>
        </row>
        <row r="172">
          <cell r="J172">
            <v>19.7</v>
          </cell>
        </row>
        <row r="186">
          <cell r="J186">
            <v>315.39999999999998</v>
          </cell>
        </row>
        <row r="200">
          <cell r="J200">
            <v>19.7</v>
          </cell>
        </row>
        <row r="217">
          <cell r="J217">
            <v>345.42</v>
          </cell>
        </row>
        <row r="231">
          <cell r="J231">
            <v>345.42</v>
          </cell>
        </row>
        <row r="245">
          <cell r="J245">
            <v>345.42</v>
          </cell>
        </row>
      </sheetData>
      <sheetData sheetId="27">
        <row r="12">
          <cell r="J12">
            <v>16</v>
          </cell>
        </row>
        <row r="22">
          <cell r="J22">
            <v>2</v>
          </cell>
        </row>
        <row r="32">
          <cell r="J32">
            <v>7</v>
          </cell>
        </row>
        <row r="42">
          <cell r="J42">
            <v>9</v>
          </cell>
        </row>
        <row r="52">
          <cell r="J52">
            <v>4</v>
          </cell>
        </row>
        <row r="64">
          <cell r="J64">
            <v>18</v>
          </cell>
        </row>
        <row r="74">
          <cell r="J74">
            <v>6</v>
          </cell>
        </row>
        <row r="84">
          <cell r="J84">
            <v>18</v>
          </cell>
        </row>
        <row r="94">
          <cell r="J94">
            <v>4</v>
          </cell>
        </row>
        <row r="104">
          <cell r="J104">
            <v>4</v>
          </cell>
        </row>
        <row r="114">
          <cell r="J114">
            <v>4</v>
          </cell>
        </row>
        <row r="124">
          <cell r="J124">
            <v>4</v>
          </cell>
        </row>
        <row r="136">
          <cell r="J136">
            <v>4</v>
          </cell>
        </row>
        <row r="148">
          <cell r="J148">
            <v>4</v>
          </cell>
        </row>
        <row r="158">
          <cell r="J158">
            <v>4</v>
          </cell>
        </row>
        <row r="173">
          <cell r="J173">
            <v>12</v>
          </cell>
        </row>
        <row r="183">
          <cell r="J183">
            <v>6</v>
          </cell>
        </row>
        <row r="193">
          <cell r="J193">
            <v>3</v>
          </cell>
        </row>
        <row r="205">
          <cell r="J205">
            <v>12</v>
          </cell>
        </row>
        <row r="215">
          <cell r="J215">
            <v>6</v>
          </cell>
        </row>
        <row r="225">
          <cell r="J225">
            <v>12</v>
          </cell>
        </row>
        <row r="235">
          <cell r="J235">
            <v>6</v>
          </cell>
        </row>
        <row r="245">
          <cell r="J245">
            <v>6</v>
          </cell>
        </row>
        <row r="255">
          <cell r="J255">
            <v>6</v>
          </cell>
        </row>
        <row r="267">
          <cell r="J267">
            <v>4.5</v>
          </cell>
        </row>
        <row r="279">
          <cell r="J279">
            <v>6</v>
          </cell>
        </row>
        <row r="289">
          <cell r="J289">
            <v>6</v>
          </cell>
        </row>
      </sheetData>
      <sheetData sheetId="28">
        <row r="12">
          <cell r="J12">
            <v>234.78</v>
          </cell>
        </row>
        <row r="22">
          <cell r="J22">
            <v>287.51100000000002</v>
          </cell>
        </row>
        <row r="32">
          <cell r="J32">
            <v>287.51100000000002</v>
          </cell>
        </row>
        <row r="46">
          <cell r="J46">
            <v>145.5</v>
          </cell>
        </row>
        <row r="56">
          <cell r="J56">
            <v>523.9</v>
          </cell>
        </row>
        <row r="66">
          <cell r="J66">
            <v>771.65</v>
          </cell>
        </row>
        <row r="76">
          <cell r="J76">
            <v>545.25</v>
          </cell>
        </row>
        <row r="90">
          <cell r="J90">
            <v>831.7</v>
          </cell>
        </row>
        <row r="100">
          <cell r="J100">
            <v>630.65</v>
          </cell>
        </row>
        <row r="110">
          <cell r="J110">
            <v>669.06</v>
          </cell>
        </row>
        <row r="120">
          <cell r="J120">
            <v>669.06</v>
          </cell>
        </row>
        <row r="134">
          <cell r="J134">
            <v>672.01</v>
          </cell>
        </row>
        <row r="144">
          <cell r="J144">
            <v>781.95</v>
          </cell>
        </row>
        <row r="154">
          <cell r="J154">
            <v>781.95</v>
          </cell>
        </row>
        <row r="164">
          <cell r="J164">
            <v>744.7</v>
          </cell>
        </row>
      </sheetData>
      <sheetData sheetId="29">
        <row r="12">
          <cell r="J12">
            <v>3</v>
          </cell>
        </row>
      </sheetData>
      <sheetData sheetId="30">
        <row r="12">
          <cell r="J12">
            <v>61.2</v>
          </cell>
        </row>
        <row r="27">
          <cell r="J27">
            <v>1163</v>
          </cell>
        </row>
        <row r="40">
          <cell r="J40">
            <v>2326</v>
          </cell>
        </row>
        <row r="51">
          <cell r="J51">
            <v>1068.8999999999999</v>
          </cell>
        </row>
        <row r="62">
          <cell r="J62">
            <v>1068.8999999999999</v>
          </cell>
        </row>
        <row r="73">
          <cell r="J73">
            <v>963</v>
          </cell>
        </row>
        <row r="84">
          <cell r="J84">
            <v>963</v>
          </cell>
        </row>
        <row r="97">
          <cell r="J97">
            <v>16</v>
          </cell>
        </row>
        <row r="107">
          <cell r="J107">
            <v>50</v>
          </cell>
        </row>
        <row r="117">
          <cell r="J117">
            <v>64</v>
          </cell>
        </row>
        <row r="129">
          <cell r="J129">
            <v>855</v>
          </cell>
        </row>
        <row r="142">
          <cell r="J142">
            <v>855</v>
          </cell>
        </row>
        <row r="152">
          <cell r="J152">
            <v>50</v>
          </cell>
        </row>
      </sheetData>
      <sheetData sheetId="31">
        <row r="12">
          <cell r="J12">
            <v>5302.86</v>
          </cell>
        </row>
        <row r="22">
          <cell r="J22">
            <v>5302.86</v>
          </cell>
        </row>
        <row r="34">
          <cell r="J34">
            <v>5338.2</v>
          </cell>
        </row>
      </sheetData>
      <sheetData sheetId="32">
        <row r="46">
          <cell r="H46">
            <v>4215.7149178149994</v>
          </cell>
        </row>
      </sheetData>
      <sheetData sheetId="33">
        <row r="47">
          <cell r="H47">
            <v>72003.31543117133</v>
          </cell>
        </row>
        <row r="100">
          <cell r="H100">
            <v>29529.471440789999</v>
          </cell>
        </row>
        <row r="153">
          <cell r="H153">
            <v>65923.170197037995</v>
          </cell>
        </row>
        <row r="206">
          <cell r="H206">
            <v>41864.964848100004</v>
          </cell>
        </row>
        <row r="258">
          <cell r="H258">
            <v>72033.518922933334</v>
          </cell>
        </row>
        <row r="311">
          <cell r="H311">
            <v>24870.178757068748</v>
          </cell>
        </row>
        <row r="363">
          <cell r="H363">
            <v>173644.95116172501</v>
          </cell>
        </row>
        <row r="416">
          <cell r="H416">
            <v>788135.04509289993</v>
          </cell>
        </row>
        <row r="468">
          <cell r="H468">
            <v>171910.75732557999</v>
          </cell>
        </row>
        <row r="520">
          <cell r="H520">
            <v>540225</v>
          </cell>
        </row>
        <row r="572">
          <cell r="H572">
            <v>139387.5</v>
          </cell>
        </row>
        <row r="626">
          <cell r="H626">
            <v>8063377.7044111602</v>
          </cell>
        </row>
        <row r="679">
          <cell r="H679">
            <v>5524.3628883800002</v>
          </cell>
        </row>
      </sheetData>
      <sheetData sheetId="34">
        <row r="49">
          <cell r="H49">
            <v>932473.87604040001</v>
          </cell>
        </row>
        <row r="102">
          <cell r="H102">
            <v>756943.11814443511</v>
          </cell>
        </row>
        <row r="155">
          <cell r="H155">
            <v>173560.04220827503</v>
          </cell>
        </row>
        <row r="208">
          <cell r="H208">
            <v>5524.3628883800002</v>
          </cell>
        </row>
        <row r="261">
          <cell r="H261">
            <v>5524.3628883800002</v>
          </cell>
        </row>
        <row r="314">
          <cell r="H314">
            <v>5524.3628883800002</v>
          </cell>
        </row>
        <row r="367">
          <cell r="H367">
            <v>5524.3628883800002</v>
          </cell>
        </row>
        <row r="420">
          <cell r="H420">
            <v>940531.3421429249</v>
          </cell>
        </row>
      </sheetData>
      <sheetData sheetId="35">
        <row r="47">
          <cell r="H47">
            <v>703286.20673449989</v>
          </cell>
        </row>
      </sheetData>
      <sheetData sheetId="36">
        <row r="48">
          <cell r="H48">
            <v>57745.035513084506</v>
          </cell>
        </row>
        <row r="100">
          <cell r="H100">
            <v>27423.427542437501</v>
          </cell>
        </row>
        <row r="153">
          <cell r="H153">
            <v>226664.45145644996</v>
          </cell>
        </row>
      </sheetData>
      <sheetData sheetId="37">
        <row r="50">
          <cell r="H50">
            <v>169763.80787436001</v>
          </cell>
        </row>
        <row r="103">
          <cell r="H103">
            <v>384474.68641284999</v>
          </cell>
        </row>
        <row r="156">
          <cell r="H156">
            <v>15457.549763950003</v>
          </cell>
        </row>
        <row r="209">
          <cell r="H209">
            <v>17895.590543949998</v>
          </cell>
        </row>
        <row r="262">
          <cell r="H262">
            <v>28388.377933649997</v>
          </cell>
        </row>
        <row r="315">
          <cell r="H315">
            <v>36145.929553649999</v>
          </cell>
        </row>
        <row r="368">
          <cell r="H368">
            <v>113574.72395905999</v>
          </cell>
        </row>
        <row r="421">
          <cell r="H421">
            <v>129891.72395905999</v>
          </cell>
        </row>
        <row r="476">
          <cell r="H476">
            <v>59368.021235320004</v>
          </cell>
        </row>
        <row r="531">
          <cell r="H531">
            <v>101304.71165807999</v>
          </cell>
        </row>
        <row r="597">
          <cell r="H597">
            <v>2297352.4498994998</v>
          </cell>
        </row>
        <row r="663">
          <cell r="H663">
            <v>2457739.9498994998</v>
          </cell>
        </row>
        <row r="729">
          <cell r="H729">
            <v>2517957.4498994998</v>
          </cell>
        </row>
        <row r="782">
          <cell r="H782">
            <v>211180.25099849998</v>
          </cell>
        </row>
        <row r="833">
          <cell r="H833">
            <v>5464852.9023900004</v>
          </cell>
        </row>
        <row r="883">
          <cell r="H883">
            <v>710640.95119499997</v>
          </cell>
        </row>
        <row r="936">
          <cell r="H936">
            <v>35618.919234499997</v>
          </cell>
        </row>
        <row r="989">
          <cell r="H989">
            <v>40908.532321999999</v>
          </cell>
        </row>
        <row r="1042">
          <cell r="H1042">
            <v>51748.290271999998</v>
          </cell>
        </row>
        <row r="1095">
          <cell r="H1095">
            <v>33989.424234500002</v>
          </cell>
        </row>
        <row r="1149">
          <cell r="H1149">
            <v>78436.881599999993</v>
          </cell>
        </row>
        <row r="1202">
          <cell r="H1202">
            <v>102684.16409999999</v>
          </cell>
        </row>
        <row r="1266">
          <cell r="H1266">
            <v>2351259.9353775</v>
          </cell>
        </row>
        <row r="1330">
          <cell r="H1330">
            <v>2444958.2603774997</v>
          </cell>
        </row>
        <row r="1394">
          <cell r="H1394">
            <v>2357103.1853775</v>
          </cell>
        </row>
        <row r="1447">
          <cell r="H1447">
            <v>51748.290271999998</v>
          </cell>
        </row>
        <row r="1498">
          <cell r="H1498">
            <v>5239239.4023900004</v>
          </cell>
        </row>
        <row r="1549">
          <cell r="H1549">
            <v>854402.84631450009</v>
          </cell>
        </row>
        <row r="1599">
          <cell r="H1599">
            <v>169700.30873530003</v>
          </cell>
        </row>
        <row r="1649">
          <cell r="H1649">
            <v>72247.794100999992</v>
          </cell>
        </row>
        <row r="1699">
          <cell r="H1699">
            <v>106162.79410099999</v>
          </cell>
        </row>
        <row r="1749">
          <cell r="H1749">
            <v>514412.58218980004</v>
          </cell>
        </row>
        <row r="1799">
          <cell r="H1799">
            <v>42195.2352808</v>
          </cell>
        </row>
        <row r="1849">
          <cell r="H1849">
            <v>10732.5588202</v>
          </cell>
        </row>
        <row r="1899">
          <cell r="H1899">
            <v>64920.352921199999</v>
          </cell>
        </row>
        <row r="1949">
          <cell r="H1949">
            <v>50512.794101</v>
          </cell>
        </row>
        <row r="1999">
          <cell r="H1999">
            <v>33836.455870700003</v>
          </cell>
        </row>
        <row r="2049">
          <cell r="H2049">
            <v>23282.007345449998</v>
          </cell>
        </row>
        <row r="2099">
          <cell r="H2099">
            <v>16029.84999434</v>
          </cell>
        </row>
        <row r="2149">
          <cell r="H2149">
            <v>10627.5588202</v>
          </cell>
        </row>
        <row r="2199">
          <cell r="H2199">
            <v>757796.91151500004</v>
          </cell>
        </row>
        <row r="2249">
          <cell r="H2249">
            <v>316520.66165649996</v>
          </cell>
        </row>
        <row r="2299">
          <cell r="H2299">
            <v>63472.911741399999</v>
          </cell>
        </row>
        <row r="2349">
          <cell r="H2349">
            <v>262328.97050499998</v>
          </cell>
        </row>
        <row r="2399">
          <cell r="H2399">
            <v>266971.52932520001</v>
          </cell>
        </row>
        <row r="2449">
          <cell r="H2449">
            <v>24678.8970505</v>
          </cell>
        </row>
        <row r="2499">
          <cell r="H2499">
            <v>25728.8970505</v>
          </cell>
        </row>
        <row r="2549">
          <cell r="H2549">
            <v>10942.5588202</v>
          </cell>
        </row>
        <row r="2599">
          <cell r="H2599">
            <v>20625.1176404</v>
          </cell>
        </row>
        <row r="2649">
          <cell r="H2649">
            <v>14955.1176404</v>
          </cell>
        </row>
        <row r="2699">
          <cell r="H2699">
            <v>8632.5588201999999</v>
          </cell>
        </row>
        <row r="2749">
          <cell r="H2749">
            <v>146771.38230300002</v>
          </cell>
        </row>
        <row r="2799">
          <cell r="H2799">
            <v>146771.38230300002</v>
          </cell>
        </row>
        <row r="2849">
          <cell r="H2849">
            <v>509483.60266649997</v>
          </cell>
        </row>
        <row r="2899">
          <cell r="H2899">
            <v>2156187.3522419999</v>
          </cell>
        </row>
        <row r="2947">
          <cell r="H2947">
            <v>3062511.1865450963</v>
          </cell>
        </row>
        <row r="2995">
          <cell r="H2995">
            <v>2525708.1365450965</v>
          </cell>
        </row>
        <row r="3055">
          <cell r="H3055">
            <v>1272288.7352525</v>
          </cell>
        </row>
        <row r="3115">
          <cell r="H3115">
            <v>27961.839925249998</v>
          </cell>
        </row>
        <row r="3176">
          <cell r="H3176">
            <v>81341878.407463327</v>
          </cell>
        </row>
        <row r="3229">
          <cell r="H3229">
            <v>64518.72395906</v>
          </cell>
        </row>
        <row r="3282">
          <cell r="H3282">
            <v>1692572.0849975001</v>
          </cell>
        </row>
        <row r="3335">
          <cell r="H3335">
            <v>133695.83399899999</v>
          </cell>
        </row>
        <row r="3388">
          <cell r="H3388">
            <v>813862.70279579994</v>
          </cell>
        </row>
        <row r="3441">
          <cell r="H3441">
            <v>2232198.5849974998</v>
          </cell>
        </row>
        <row r="3494">
          <cell r="H3494">
            <v>125156.25059909999</v>
          </cell>
        </row>
        <row r="3547">
          <cell r="H3547">
            <v>219883.03499750001</v>
          </cell>
        </row>
        <row r="3600">
          <cell r="H3600">
            <v>11680660.922990501</v>
          </cell>
        </row>
        <row r="3652">
          <cell r="H3652">
            <v>379383.13230300002</v>
          </cell>
        </row>
        <row r="3704">
          <cell r="H3704">
            <v>91268.382302999991</v>
          </cell>
        </row>
        <row r="3756">
          <cell r="H3756">
            <v>240813.81477719999</v>
          </cell>
        </row>
        <row r="3808">
          <cell r="H3808">
            <v>151521.77070450003</v>
          </cell>
        </row>
        <row r="3860">
          <cell r="H3860">
            <v>56273.029381799992</v>
          </cell>
        </row>
        <row r="3912">
          <cell r="H3912">
            <v>53569.485252500002</v>
          </cell>
        </row>
        <row r="3964">
          <cell r="H3964">
            <v>81866.985252500002</v>
          </cell>
        </row>
        <row r="4016">
          <cell r="H4016">
            <v>79521.588201999999</v>
          </cell>
        </row>
        <row r="4068">
          <cell r="H4068">
            <v>5525.3049741399991</v>
          </cell>
        </row>
        <row r="4120">
          <cell r="H4120">
            <v>4023.80497414</v>
          </cell>
        </row>
        <row r="4172">
          <cell r="H4172">
            <v>7310.3049741399991</v>
          </cell>
        </row>
        <row r="4224">
          <cell r="H4224">
            <v>4932.7932100999997</v>
          </cell>
        </row>
        <row r="4276">
          <cell r="H4276">
            <v>42884.304974140003</v>
          </cell>
        </row>
        <row r="4328">
          <cell r="H4328">
            <v>6995.3049741399991</v>
          </cell>
        </row>
        <row r="4380">
          <cell r="H4380">
            <v>4842.8049741399991</v>
          </cell>
        </row>
        <row r="4430">
          <cell r="H4430">
            <v>12622.5588202</v>
          </cell>
        </row>
        <row r="4480">
          <cell r="H4480">
            <v>25117.5588202</v>
          </cell>
        </row>
        <row r="4530">
          <cell r="H4530">
            <v>2835926.2699950007</v>
          </cell>
        </row>
        <row r="4580">
          <cell r="H4580">
            <v>2495988.7699950002</v>
          </cell>
        </row>
        <row r="4630">
          <cell r="H4630">
            <v>1816113.7699950002</v>
          </cell>
        </row>
        <row r="4680">
          <cell r="H4680">
            <v>4804418.8959934991</v>
          </cell>
        </row>
        <row r="4730">
          <cell r="H4730">
            <v>18668036.5</v>
          </cell>
        </row>
        <row r="4780">
          <cell r="H4780">
            <v>26870533.735500004</v>
          </cell>
        </row>
        <row r="4830">
          <cell r="H4830">
            <v>46538569.623000011</v>
          </cell>
        </row>
      </sheetData>
      <sheetData sheetId="38">
        <row r="55">
          <cell r="H55">
            <v>190626</v>
          </cell>
        </row>
        <row r="110">
          <cell r="H110">
            <v>202657</v>
          </cell>
        </row>
        <row r="150">
          <cell r="H150">
            <v>152919</v>
          </cell>
        </row>
        <row r="195">
          <cell r="H195">
            <v>347047</v>
          </cell>
        </row>
        <row r="240">
          <cell r="H240">
            <v>347047</v>
          </cell>
        </row>
        <row r="334">
          <cell r="H334">
            <v>137688</v>
          </cell>
        </row>
        <row r="428">
          <cell r="H428">
            <v>153256</v>
          </cell>
        </row>
        <row r="472">
          <cell r="H472">
            <v>141137</v>
          </cell>
        </row>
        <row r="522">
          <cell r="H522">
            <v>180540</v>
          </cell>
        </row>
        <row r="572">
          <cell r="H572">
            <v>256695</v>
          </cell>
        </row>
        <row r="622">
          <cell r="H622">
            <v>285738</v>
          </cell>
        </row>
        <row r="656">
          <cell r="H656">
            <v>128561</v>
          </cell>
        </row>
        <row r="693">
          <cell r="H693">
            <v>36846</v>
          </cell>
        </row>
        <row r="730">
          <cell r="H730">
            <v>36846</v>
          </cell>
        </row>
        <row r="767">
          <cell r="H767">
            <v>36846</v>
          </cell>
        </row>
        <row r="804">
          <cell r="H804">
            <v>36846</v>
          </cell>
        </row>
        <row r="841">
          <cell r="H841">
            <v>36846</v>
          </cell>
        </row>
        <row r="878">
          <cell r="H878">
            <v>36846</v>
          </cell>
        </row>
        <row r="952">
          <cell r="H952">
            <v>36846</v>
          </cell>
        </row>
        <row r="989">
          <cell r="H989">
            <v>36846</v>
          </cell>
        </row>
        <row r="1026">
          <cell r="H1026">
            <v>36846</v>
          </cell>
        </row>
        <row r="1063">
          <cell r="H1063">
            <v>36846</v>
          </cell>
        </row>
        <row r="1100">
          <cell r="H1100">
            <v>36846</v>
          </cell>
        </row>
        <row r="1137">
          <cell r="H1137">
            <v>36846</v>
          </cell>
        </row>
        <row r="1187">
          <cell r="H1187">
            <v>36846</v>
          </cell>
        </row>
        <row r="1237">
          <cell r="H1237">
            <v>36846</v>
          </cell>
        </row>
        <row r="1287">
          <cell r="H1287">
            <v>36846</v>
          </cell>
        </row>
        <row r="1337">
          <cell r="H1337">
            <v>36846</v>
          </cell>
        </row>
        <row r="1387">
          <cell r="H1387">
            <v>36846</v>
          </cell>
        </row>
        <row r="1437">
          <cell r="H1437">
            <v>36846</v>
          </cell>
        </row>
        <row r="1487">
          <cell r="H1487">
            <v>36846</v>
          </cell>
        </row>
        <row r="1537">
          <cell r="H1537">
            <v>36846</v>
          </cell>
        </row>
        <row r="1587">
          <cell r="H1587">
            <v>36846</v>
          </cell>
        </row>
        <row r="1637">
          <cell r="H1637">
            <v>36846</v>
          </cell>
        </row>
        <row r="1687">
          <cell r="H1687">
            <v>36846</v>
          </cell>
        </row>
        <row r="1730">
          <cell r="H1730">
            <v>36846</v>
          </cell>
        </row>
        <row r="1771">
          <cell r="H1771">
            <v>36846</v>
          </cell>
        </row>
        <row r="1806">
          <cell r="H1806">
            <v>36846</v>
          </cell>
        </row>
        <row r="1846">
          <cell r="H1846">
            <v>36846</v>
          </cell>
        </row>
        <row r="1881">
          <cell r="H1881">
            <v>36846</v>
          </cell>
        </row>
        <row r="1931">
          <cell r="H1931">
            <v>36846</v>
          </cell>
        </row>
        <row r="1967">
          <cell r="H1967">
            <v>36846</v>
          </cell>
        </row>
        <row r="2017">
          <cell r="H2017">
            <v>36846</v>
          </cell>
        </row>
        <row r="2055">
          <cell r="H2055">
            <v>36846</v>
          </cell>
        </row>
        <row r="2105">
          <cell r="H2105">
            <v>36846</v>
          </cell>
        </row>
        <row r="2141">
          <cell r="H2141">
            <v>36846</v>
          </cell>
        </row>
        <row r="2191">
          <cell r="H2191">
            <v>36846</v>
          </cell>
        </row>
        <row r="2227">
          <cell r="H2227">
            <v>25718</v>
          </cell>
        </row>
        <row r="2277">
          <cell r="H2277">
            <v>36846</v>
          </cell>
        </row>
        <row r="2313">
          <cell r="H2313">
            <v>50790</v>
          </cell>
        </row>
        <row r="2363">
          <cell r="H2363">
            <v>50790</v>
          </cell>
        </row>
        <row r="2399">
          <cell r="H2399">
            <v>50790</v>
          </cell>
        </row>
        <row r="2449">
          <cell r="H2449">
            <v>50790</v>
          </cell>
        </row>
        <row r="2535">
          <cell r="H2535">
            <v>63101</v>
          </cell>
        </row>
        <row r="2571">
          <cell r="H2571">
            <v>63101</v>
          </cell>
        </row>
        <row r="2609">
          <cell r="H2609">
            <v>14215</v>
          </cell>
        </row>
        <row r="2647">
          <cell r="H2647">
            <v>166293</v>
          </cell>
        </row>
        <row r="2687">
          <cell r="H2687">
            <v>200781</v>
          </cell>
        </row>
        <row r="2727">
          <cell r="H2727">
            <v>222873</v>
          </cell>
        </row>
        <row r="2767">
          <cell r="H2767">
            <v>2504053</v>
          </cell>
        </row>
        <row r="2806">
          <cell r="H2806">
            <v>2504053</v>
          </cell>
        </row>
        <row r="2845">
          <cell r="H2845">
            <v>1127109</v>
          </cell>
        </row>
        <row r="2883">
          <cell r="H2883">
            <v>36846</v>
          </cell>
        </row>
        <row r="2921">
          <cell r="H2921">
            <v>36846</v>
          </cell>
        </row>
        <row r="2961">
          <cell r="H2961">
            <v>112857</v>
          </cell>
        </row>
        <row r="3011">
          <cell r="H3011">
            <v>8720</v>
          </cell>
        </row>
        <row r="3046">
          <cell r="H3046">
            <v>12046</v>
          </cell>
        </row>
        <row r="3096">
          <cell r="H3096">
            <v>16852</v>
          </cell>
        </row>
        <row r="3131">
          <cell r="H3131">
            <v>451302</v>
          </cell>
        </row>
        <row r="3181">
          <cell r="H3181">
            <v>616402</v>
          </cell>
        </row>
        <row r="3266">
          <cell r="H3266">
            <v>260802</v>
          </cell>
        </row>
        <row r="3301">
          <cell r="H3301">
            <v>386784</v>
          </cell>
        </row>
        <row r="3351">
          <cell r="H3351">
            <v>492703</v>
          </cell>
        </row>
        <row r="3386">
          <cell r="H3386">
            <v>547879</v>
          </cell>
        </row>
        <row r="3417">
          <cell r="H3417">
            <v>600707</v>
          </cell>
        </row>
        <row r="3445">
          <cell r="H3445">
            <v>84802</v>
          </cell>
        </row>
        <row r="3473">
          <cell r="H3473">
            <v>42969</v>
          </cell>
        </row>
        <row r="3503">
          <cell r="H3503">
            <v>18561</v>
          </cell>
        </row>
        <row r="3533">
          <cell r="H3533">
            <v>98571</v>
          </cell>
        </row>
        <row r="3562">
          <cell r="H3562">
            <v>245996</v>
          </cell>
        </row>
        <row r="3596">
          <cell r="H3596">
            <v>245922</v>
          </cell>
        </row>
        <row r="3624">
          <cell r="H3624">
            <v>122718</v>
          </cell>
        </row>
        <row r="3652">
          <cell r="H3652">
            <v>154734</v>
          </cell>
        </row>
        <row r="3690">
          <cell r="H3690">
            <v>1934698</v>
          </cell>
        </row>
        <row r="3728">
          <cell r="H3728">
            <v>2814625</v>
          </cell>
        </row>
        <row r="3766">
          <cell r="H3766">
            <v>2054698</v>
          </cell>
        </row>
        <row r="3804">
          <cell r="H3804">
            <v>2354698</v>
          </cell>
        </row>
        <row r="3842">
          <cell r="H3842">
            <v>2654698</v>
          </cell>
        </row>
        <row r="3880">
          <cell r="H3880">
            <v>2594698</v>
          </cell>
        </row>
        <row r="3918">
          <cell r="H3918">
            <v>1814698</v>
          </cell>
        </row>
        <row r="3956">
          <cell r="H3956">
            <v>1814698</v>
          </cell>
        </row>
        <row r="4006">
          <cell r="H4006">
            <v>1814698</v>
          </cell>
        </row>
        <row r="4056">
          <cell r="H4056">
            <v>18039415</v>
          </cell>
        </row>
        <row r="4095">
          <cell r="H4095">
            <v>2425949</v>
          </cell>
        </row>
        <row r="4134">
          <cell r="H4134">
            <v>2425949</v>
          </cell>
        </row>
        <row r="4173">
          <cell r="H4173">
            <v>2000324</v>
          </cell>
        </row>
        <row r="4212">
          <cell r="H4212">
            <v>2168726</v>
          </cell>
        </row>
        <row r="4262">
          <cell r="H4262">
            <v>25109937</v>
          </cell>
        </row>
        <row r="4312">
          <cell r="H4312">
            <v>20468937</v>
          </cell>
        </row>
        <row r="4362">
          <cell r="H4362">
            <v>52956312</v>
          </cell>
        </row>
        <row r="4412">
          <cell r="H4412">
            <v>389204949</v>
          </cell>
        </row>
        <row r="4521">
          <cell r="H4521">
            <v>9693235</v>
          </cell>
        </row>
        <row r="4594">
          <cell r="H4594">
            <v>50572</v>
          </cell>
        </row>
        <row r="4629">
          <cell r="H4629">
            <v>86927</v>
          </cell>
        </row>
        <row r="4665">
          <cell r="H4665">
            <v>73023</v>
          </cell>
        </row>
        <row r="4701">
          <cell r="H4701">
            <v>2220422</v>
          </cell>
        </row>
        <row r="4740">
          <cell r="H4740">
            <v>76817</v>
          </cell>
        </row>
        <row r="4777">
          <cell r="H4777">
            <v>43833</v>
          </cell>
        </row>
        <row r="4814">
          <cell r="H4814">
            <v>22677</v>
          </cell>
        </row>
        <row r="4851">
          <cell r="H4851">
            <v>115435</v>
          </cell>
        </row>
        <row r="4888">
          <cell r="H4888">
            <v>129405</v>
          </cell>
        </row>
        <row r="4915">
          <cell r="H4915">
            <v>296306</v>
          </cell>
        </row>
        <row r="4946">
          <cell r="H4946">
            <v>34521</v>
          </cell>
        </row>
        <row r="4976">
          <cell r="H4976">
            <v>160634</v>
          </cell>
        </row>
        <row r="5034">
          <cell r="H5034">
            <v>240545</v>
          </cell>
        </row>
        <row r="5063">
          <cell r="H5063">
            <v>463057</v>
          </cell>
        </row>
        <row r="5091">
          <cell r="H5091">
            <v>394637531</v>
          </cell>
        </row>
        <row r="5119">
          <cell r="H5119">
            <v>10648018</v>
          </cell>
        </row>
        <row r="5150">
          <cell r="H5150">
            <v>1294323</v>
          </cell>
        </row>
        <row r="5185">
          <cell r="H5185">
            <v>201225</v>
          </cell>
        </row>
        <row r="5235">
          <cell r="H5235">
            <v>4718243</v>
          </cell>
        </row>
        <row r="5285">
          <cell r="H5285">
            <v>4659086</v>
          </cell>
        </row>
        <row r="5335">
          <cell r="H5335">
            <v>1955834</v>
          </cell>
        </row>
        <row r="5369">
          <cell r="H5369">
            <v>67791</v>
          </cell>
        </row>
        <row r="5419">
          <cell r="H5419">
            <v>261510</v>
          </cell>
        </row>
        <row r="5505">
          <cell r="H5505">
            <v>24912035</v>
          </cell>
        </row>
        <row r="5541">
          <cell r="H5541">
            <v>23841075</v>
          </cell>
        </row>
        <row r="5576">
          <cell r="H5576">
            <v>3483988</v>
          </cell>
        </row>
        <row r="5624">
          <cell r="H5624">
            <v>196385</v>
          </cell>
        </row>
        <row r="5659">
          <cell r="H5659">
            <v>130497</v>
          </cell>
        </row>
        <row r="5694">
          <cell r="H5694">
            <v>441032</v>
          </cell>
        </row>
        <row r="5729">
          <cell r="H5729">
            <v>112102</v>
          </cell>
        </row>
        <row r="5766">
          <cell r="H5766">
            <v>1830452</v>
          </cell>
        </row>
        <row r="5801">
          <cell r="H5801">
            <v>581581</v>
          </cell>
        </row>
        <row r="5836">
          <cell r="H5836">
            <v>1559017</v>
          </cell>
        </row>
        <row r="5870">
          <cell r="H5870">
            <v>32680</v>
          </cell>
        </row>
        <row r="5905">
          <cell r="H5905">
            <v>1595085</v>
          </cell>
        </row>
        <row r="5943">
          <cell r="H5943">
            <v>579564</v>
          </cell>
        </row>
        <row r="5980">
          <cell r="H5980">
            <v>176634</v>
          </cell>
        </row>
        <row r="6023">
          <cell r="H6023">
            <v>185277</v>
          </cell>
        </row>
        <row r="6066">
          <cell r="H6066">
            <v>201811</v>
          </cell>
        </row>
        <row r="6102">
          <cell r="H6102">
            <v>74599</v>
          </cell>
        </row>
        <row r="6137">
          <cell r="H6137">
            <v>56819</v>
          </cell>
        </row>
        <row r="6170">
          <cell r="H6170">
            <v>7297</v>
          </cell>
        </row>
        <row r="6203">
          <cell r="H6203">
            <v>26080</v>
          </cell>
        </row>
        <row r="6236">
          <cell r="H6236">
            <v>20016</v>
          </cell>
        </row>
        <row r="6269">
          <cell r="H6269">
            <v>3523</v>
          </cell>
        </row>
        <row r="6302">
          <cell r="H6302">
            <v>3523</v>
          </cell>
        </row>
        <row r="6335">
          <cell r="H6335">
            <v>3523</v>
          </cell>
        </row>
        <row r="6381">
          <cell r="H6381">
            <v>216746</v>
          </cell>
        </row>
        <row r="6415">
          <cell r="H6415">
            <v>212312</v>
          </cell>
        </row>
        <row r="6449">
          <cell r="H6449">
            <v>210078</v>
          </cell>
        </row>
        <row r="6484">
          <cell r="H6484">
            <v>182074</v>
          </cell>
        </row>
        <row r="6521">
          <cell r="H6521">
            <v>125051</v>
          </cell>
        </row>
        <row r="6558">
          <cell r="H6558">
            <v>51857</v>
          </cell>
        </row>
        <row r="6595">
          <cell r="H6595">
            <v>49317</v>
          </cell>
        </row>
        <row r="6632">
          <cell r="H6632">
            <v>125051</v>
          </cell>
        </row>
        <row r="6664">
          <cell r="H6664">
            <v>108287</v>
          </cell>
        </row>
        <row r="6701">
          <cell r="H6701">
            <v>154388</v>
          </cell>
        </row>
        <row r="6738">
          <cell r="H6738">
            <v>85808</v>
          </cell>
        </row>
        <row r="6770">
          <cell r="H6770">
            <v>879158</v>
          </cell>
        </row>
        <row r="6843">
          <cell r="H6843">
            <v>1246056</v>
          </cell>
        </row>
        <row r="6893">
          <cell r="H6893">
            <v>1424691</v>
          </cell>
        </row>
      </sheetData>
      <sheetData sheetId="39">
        <row r="51">
          <cell r="H51">
            <v>6638558.1158349961</v>
          </cell>
        </row>
        <row r="108">
          <cell r="H108">
            <v>4713805.0661625005</v>
          </cell>
        </row>
        <row r="164">
          <cell r="H164">
            <v>3318694.5213240003</v>
          </cell>
        </row>
        <row r="220">
          <cell r="H220">
            <v>139035.071975625</v>
          </cell>
        </row>
        <row r="275">
          <cell r="H275">
            <v>225912.33157499999</v>
          </cell>
        </row>
        <row r="330">
          <cell r="H330">
            <v>1388982.3198250001</v>
          </cell>
        </row>
        <row r="386">
          <cell r="H386">
            <v>139026.10732500002</v>
          </cell>
        </row>
        <row r="442">
          <cell r="H442">
            <v>208527.7047</v>
          </cell>
        </row>
        <row r="498">
          <cell r="H498">
            <v>66988036.480245508</v>
          </cell>
        </row>
        <row r="554">
          <cell r="H554">
            <v>62974832.678309999</v>
          </cell>
        </row>
        <row r="610">
          <cell r="H610">
            <v>212002.41982500002</v>
          </cell>
        </row>
        <row r="665">
          <cell r="H665">
            <v>243527.35470000003</v>
          </cell>
        </row>
        <row r="721">
          <cell r="H721">
            <v>260653.64220000003</v>
          </cell>
        </row>
        <row r="777">
          <cell r="H777">
            <v>60837.201074999997</v>
          </cell>
        </row>
        <row r="833">
          <cell r="H833">
            <v>364905.5172</v>
          </cell>
        </row>
        <row r="889">
          <cell r="H889">
            <v>212002.41982500002</v>
          </cell>
        </row>
        <row r="945">
          <cell r="H945">
            <v>3430671.2649900001</v>
          </cell>
        </row>
        <row r="1001">
          <cell r="H1001">
            <v>48571.101074999999</v>
          </cell>
        </row>
        <row r="1056">
          <cell r="H1056">
            <v>3843445.4855999998</v>
          </cell>
        </row>
        <row r="1112">
          <cell r="H1112">
            <v>139035.071975625</v>
          </cell>
        </row>
        <row r="1167">
          <cell r="H1167">
            <v>225912.33157499999</v>
          </cell>
        </row>
      </sheetData>
      <sheetData sheetId="40">
        <row r="50">
          <cell r="H50">
            <v>179287.54291462357</v>
          </cell>
        </row>
        <row r="103">
          <cell r="H103">
            <v>78737.520493717762</v>
          </cell>
        </row>
      </sheetData>
      <sheetData sheetId="41">
        <row r="46">
          <cell r="H46">
            <v>48496.021000902001</v>
          </cell>
        </row>
        <row r="99">
          <cell r="H99">
            <v>10068.4657031035</v>
          </cell>
        </row>
        <row r="150">
          <cell r="H150">
            <v>61184.986552824397</v>
          </cell>
        </row>
      </sheetData>
      <sheetData sheetId="42">
        <row r="49">
          <cell r="H49">
            <v>51130.455395893994</v>
          </cell>
        </row>
        <row r="103">
          <cell r="H103">
            <v>25478.141190684</v>
          </cell>
        </row>
        <row r="158">
          <cell r="H158">
            <v>15208.336844399999</v>
          </cell>
        </row>
      </sheetData>
      <sheetData sheetId="43">
        <row r="51">
          <cell r="H51">
            <v>64574.967622340002</v>
          </cell>
        </row>
        <row r="108">
          <cell r="H108">
            <v>64574.967622340002</v>
          </cell>
        </row>
      </sheetData>
      <sheetData sheetId="44">
        <row r="45">
          <cell r="H45">
            <v>31390.392271518002</v>
          </cell>
        </row>
        <row r="96">
          <cell r="H96">
            <v>39202.600094658002</v>
          </cell>
        </row>
        <row r="150">
          <cell r="H150">
            <v>148393.246291068</v>
          </cell>
        </row>
        <row r="203">
          <cell r="H203">
            <v>5556.1900846200006</v>
          </cell>
        </row>
        <row r="261">
          <cell r="H261">
            <v>84352.788136122486</v>
          </cell>
        </row>
        <row r="316">
          <cell r="H316">
            <v>61953.830698999998</v>
          </cell>
        </row>
        <row r="371">
          <cell r="H371">
            <v>34378.883324199996</v>
          </cell>
        </row>
      </sheetData>
      <sheetData sheetId="45">
        <row r="47">
          <cell r="H47">
            <v>41929.976684120003</v>
          </cell>
        </row>
        <row r="100">
          <cell r="H100">
            <v>23797.431959559999</v>
          </cell>
        </row>
        <row r="153">
          <cell r="H153">
            <v>41707.980981240005</v>
          </cell>
        </row>
      </sheetData>
      <sheetData sheetId="46">
        <row r="47">
          <cell r="H47">
            <v>231709.91995042501</v>
          </cell>
        </row>
        <row r="100">
          <cell r="H100">
            <v>1212750</v>
          </cell>
        </row>
        <row r="153">
          <cell r="H153">
            <v>942900</v>
          </cell>
        </row>
        <row r="206">
          <cell r="H206">
            <v>1690500</v>
          </cell>
        </row>
        <row r="259">
          <cell r="H259">
            <v>1284885</v>
          </cell>
        </row>
        <row r="312">
          <cell r="H312">
            <v>2569770</v>
          </cell>
        </row>
        <row r="365">
          <cell r="H365">
            <v>1155000</v>
          </cell>
        </row>
        <row r="418">
          <cell r="H418">
            <v>2814677.25</v>
          </cell>
        </row>
        <row r="471">
          <cell r="H471">
            <v>1827525</v>
          </cell>
        </row>
        <row r="524">
          <cell r="H524">
            <v>2257500</v>
          </cell>
        </row>
        <row r="577">
          <cell r="H577">
            <v>3655814.1472124998</v>
          </cell>
        </row>
      </sheetData>
      <sheetData sheetId="47">
        <row r="46">
          <cell r="H46">
            <v>365771.94304990006</v>
          </cell>
        </row>
        <row r="94">
          <cell r="H94">
            <v>430385.87389699998</v>
          </cell>
        </row>
        <row r="142">
          <cell r="H142">
            <v>430385.87389699998</v>
          </cell>
        </row>
        <row r="197">
          <cell r="H197">
            <v>685845.3547425</v>
          </cell>
        </row>
        <row r="252">
          <cell r="H252">
            <v>82285.308899149997</v>
          </cell>
        </row>
      </sheetData>
      <sheetData sheetId="48">
        <row r="45">
          <cell r="H45">
            <v>347184.51949719997</v>
          </cell>
        </row>
        <row r="98">
          <cell r="H98">
            <v>457641.66947100003</v>
          </cell>
        </row>
      </sheetData>
      <sheetData sheetId="49">
        <row r="49">
          <cell r="H49">
            <v>1240886.2051039999</v>
          </cell>
        </row>
        <row r="104">
          <cell r="H104">
            <v>1240886.2051039999</v>
          </cell>
        </row>
        <row r="158">
          <cell r="H158">
            <v>1532970.2176039997</v>
          </cell>
        </row>
        <row r="213">
          <cell r="H213">
            <v>566554.98686920002</v>
          </cell>
        </row>
        <row r="271">
          <cell r="H271">
            <v>274419.31799800001</v>
          </cell>
        </row>
        <row r="324">
          <cell r="H324">
            <v>262914.66399649996</v>
          </cell>
        </row>
        <row r="377">
          <cell r="H377">
            <v>401038.13702190004</v>
          </cell>
        </row>
        <row r="430">
          <cell r="H430">
            <v>439294.01259860001</v>
          </cell>
        </row>
        <row r="483">
          <cell r="H483">
            <v>409134.37387855002</v>
          </cell>
        </row>
        <row r="536">
          <cell r="H536">
            <v>70116.132261099992</v>
          </cell>
        </row>
        <row r="589">
          <cell r="H589">
            <v>1051466.3495588</v>
          </cell>
        </row>
        <row r="642">
          <cell r="H642">
            <v>3054594.3560622497</v>
          </cell>
        </row>
        <row r="695">
          <cell r="H695">
            <v>160274.28650729998</v>
          </cell>
        </row>
        <row r="748">
          <cell r="H748">
            <v>20805.17482575</v>
          </cell>
        </row>
        <row r="801">
          <cell r="H801">
            <v>58847.064530800002</v>
          </cell>
        </row>
      </sheetData>
      <sheetData sheetId="50">
        <row r="48">
          <cell r="H48">
            <v>13728.54058212</v>
          </cell>
        </row>
      </sheetData>
      <sheetData sheetId="51">
        <row r="46">
          <cell r="H46">
            <v>185000000</v>
          </cell>
        </row>
      </sheetData>
      <sheetData sheetId="52">
        <row r="44">
          <cell r="H44">
            <v>450935.92985670001</v>
          </cell>
        </row>
        <row r="97">
          <cell r="H97">
            <v>44993.026784896043</v>
          </cell>
        </row>
        <row r="150">
          <cell r="H150">
            <v>12691.686288338749</v>
          </cell>
        </row>
        <row r="201">
          <cell r="H201">
            <v>59636.2740939</v>
          </cell>
        </row>
        <row r="254">
          <cell r="H254">
            <v>81475.598998999994</v>
          </cell>
        </row>
        <row r="309">
          <cell r="H309">
            <v>64489.985121449994</v>
          </cell>
        </row>
        <row r="365">
          <cell r="H365">
            <v>37384.905434435001</v>
          </cell>
        </row>
        <row r="421">
          <cell r="H421">
            <v>779205.0401746626</v>
          </cell>
        </row>
        <row r="477">
          <cell r="H477">
            <v>733506.33427566267</v>
          </cell>
        </row>
        <row r="532">
          <cell r="H532">
            <v>74156.935081100019</v>
          </cell>
        </row>
        <row r="587">
          <cell r="H587">
            <v>17527.83351837</v>
          </cell>
        </row>
        <row r="642">
          <cell r="H642">
            <v>87625.239404380001</v>
          </cell>
        </row>
        <row r="697">
          <cell r="H697">
            <v>81213.758952189994</v>
          </cell>
        </row>
      </sheetData>
      <sheetData sheetId="53">
        <row r="49">
          <cell r="H49">
            <v>3622.5592685624997</v>
          </cell>
        </row>
        <row r="104">
          <cell r="H104">
            <v>7036.093637125</v>
          </cell>
        </row>
        <row r="159">
          <cell r="H159">
            <v>4468.5945246270003</v>
          </cell>
        </row>
      </sheetData>
      <sheetData sheetId="5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MANO DE OBRA"/>
      <sheetName val="CONCRETOS"/>
      <sheetName val="F. MULTIPLICADOR"/>
      <sheetName val="MATERIAL - EQUIPÓS"/>
      <sheetName val="PO"/>
      <sheetName val="CAP 7"/>
      <sheetName val="CAP 1"/>
      <sheetName val="CAP 2"/>
      <sheetName val="CAP 3"/>
      <sheetName val="CAP 4"/>
      <sheetName val="CAP 5"/>
      <sheetName val="CAP 6"/>
      <sheetName val="CAP 9"/>
      <sheetName val="CAP 10"/>
      <sheetName val="CAP 11"/>
      <sheetName val="CAP 12"/>
      <sheetName val="CAP 13"/>
      <sheetName val="CAP 14"/>
      <sheetName val="CAP 15"/>
      <sheetName val="CAP 16"/>
      <sheetName val="CAP 17"/>
      <sheetName val="CAP 18"/>
      <sheetName val="CAP 19"/>
      <sheetName val="CAP 20"/>
      <sheetName val="CAP 21"/>
      <sheetName val="CAP 22"/>
      <sheetName val="Hoja8"/>
    </sheetNames>
    <sheetDataSet>
      <sheetData sheetId="0" refreshError="1"/>
      <sheetData sheetId="1" refreshError="1"/>
      <sheetData sheetId="2" refreshError="1"/>
      <sheetData sheetId="3" refreshError="1"/>
      <sheetData sheetId="4" refreshError="1"/>
      <sheetData sheetId="5" refreshError="1"/>
      <sheetData sheetId="6" refreshError="1">
        <row r="3216">
          <cell r="H3216">
            <v>235402</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FD947-92DB-48B1-AD47-73DAF47E565B}">
  <dimension ref="B3:P1151"/>
  <sheetViews>
    <sheetView tabSelected="1" workbookViewId="0">
      <selection activeCell="J3" sqref="J3"/>
    </sheetView>
  </sheetViews>
  <sheetFormatPr baseColWidth="10" defaultRowHeight="15"/>
  <cols>
    <col min="1" max="1" width="5.7109375" style="1" customWidth="1"/>
    <col min="2" max="2" width="8" style="1" customWidth="1"/>
    <col min="3" max="3" width="57" style="1" customWidth="1"/>
    <col min="4" max="4" width="6.28515625" style="1" customWidth="1"/>
    <col min="5" max="5" width="11.5703125" style="1" customWidth="1"/>
    <col min="6" max="6" width="18.42578125" style="2" customWidth="1"/>
    <col min="7" max="7" width="13.42578125" style="2" customWidth="1"/>
    <col min="8" max="8" width="28" style="3" customWidth="1"/>
    <col min="9" max="9" width="9.5703125" style="4" customWidth="1"/>
    <col min="10" max="10" width="20" style="4" customWidth="1"/>
    <col min="11" max="11" width="24" style="4" bestFit="1" customWidth="1"/>
    <col min="12" max="12" width="11.42578125" style="1"/>
    <col min="13" max="13" width="17.5703125" style="1" bestFit="1" customWidth="1"/>
    <col min="14" max="14" width="11.42578125" style="1"/>
    <col min="15" max="15" width="20.42578125" style="1" bestFit="1" customWidth="1"/>
    <col min="16" max="16384" width="11.42578125" style="1"/>
  </cols>
  <sheetData>
    <row r="3" spans="2:8" ht="15.75" thickBot="1"/>
    <row r="4" spans="2:8" ht="25.5">
      <c r="B4" s="5" t="s">
        <v>0</v>
      </c>
      <c r="C4" s="6"/>
      <c r="D4" s="6"/>
      <c r="E4" s="7"/>
      <c r="F4" s="8" t="s">
        <v>1</v>
      </c>
      <c r="G4" s="9"/>
      <c r="H4" s="10"/>
    </row>
    <row r="5" spans="2:8" ht="58.5" customHeight="1">
      <c r="B5" s="11" t="s">
        <v>2</v>
      </c>
      <c r="C5" s="12"/>
      <c r="D5" s="12"/>
      <c r="E5" s="13"/>
      <c r="F5" s="14"/>
      <c r="G5" s="15"/>
      <c r="H5" s="16"/>
    </row>
    <row r="6" spans="2:8">
      <c r="B6" s="11"/>
      <c r="C6" s="12"/>
      <c r="D6" s="12"/>
      <c r="E6" s="13"/>
      <c r="F6" s="17" t="s">
        <v>3</v>
      </c>
      <c r="G6" s="17" t="s">
        <v>4</v>
      </c>
      <c r="H6" s="18" t="s">
        <v>5</v>
      </c>
    </row>
    <row r="7" spans="2:8" ht="24.75" customHeight="1" thickBot="1">
      <c r="B7" s="19"/>
      <c r="C7" s="20"/>
      <c r="D7" s="20"/>
      <c r="E7" s="21"/>
      <c r="F7" s="22">
        <f>H1150</f>
        <v>21029202844.685284</v>
      </c>
      <c r="G7" s="23" t="s">
        <v>1134</v>
      </c>
      <c r="H7" s="24"/>
    </row>
    <row r="8" spans="2:8" ht="15.75" hidden="1" thickBot="1"/>
    <row r="9" spans="2:8" ht="15.75" hidden="1" thickBot="1"/>
    <row r="10" spans="2:8" ht="15.75" hidden="1" thickBot="1"/>
    <row r="11" spans="2:8" ht="15.75" hidden="1" thickBot="1"/>
    <row r="12" spans="2:8" ht="15.75" hidden="1" thickBot="1"/>
    <row r="13" spans="2:8" ht="15.75" hidden="1" thickBot="1"/>
    <row r="14" spans="2:8" ht="15.75" hidden="1" thickBot="1"/>
    <row r="15" spans="2:8" ht="15.75" hidden="1" thickBot="1"/>
    <row r="16" spans="2:8" ht="15.75" hidden="1" thickBot="1"/>
    <row r="17" spans="2:10" ht="15.75" hidden="1" thickBot="1"/>
    <row r="18" spans="2:10" ht="66" hidden="1" customHeight="1">
      <c r="B18" s="5" t="s">
        <v>6</v>
      </c>
      <c r="C18" s="6"/>
      <c r="D18" s="6"/>
      <c r="E18" s="7"/>
      <c r="F18" s="8" t="s">
        <v>1</v>
      </c>
      <c r="G18" s="9"/>
      <c r="H18" s="10"/>
      <c r="I18" s="25"/>
    </row>
    <row r="19" spans="2:10" ht="15" hidden="1" customHeight="1">
      <c r="B19" s="11" t="s">
        <v>7</v>
      </c>
      <c r="C19" s="12"/>
      <c r="D19" s="12"/>
      <c r="E19" s="13"/>
      <c r="F19" s="14"/>
      <c r="G19" s="15"/>
      <c r="H19" s="16"/>
      <c r="I19" s="25"/>
    </row>
    <row r="20" spans="2:10" ht="15" hidden="1" customHeight="1">
      <c r="B20" s="11"/>
      <c r="C20" s="12"/>
      <c r="D20" s="12"/>
      <c r="E20" s="13"/>
      <c r="F20" s="17" t="s">
        <v>3</v>
      </c>
      <c r="G20" s="17" t="s">
        <v>4</v>
      </c>
      <c r="H20" s="18" t="s">
        <v>5</v>
      </c>
      <c r="I20" s="25"/>
    </row>
    <row r="21" spans="2:10" ht="39" hidden="1" customHeight="1">
      <c r="B21" s="19"/>
      <c r="C21" s="20"/>
      <c r="D21" s="20"/>
      <c r="E21" s="21"/>
      <c r="F21" s="22" t="e">
        <f>#REF!</f>
        <v>#REF!</v>
      </c>
      <c r="G21" s="23"/>
      <c r="H21" s="24"/>
      <c r="I21" s="25"/>
      <c r="J21" s="26"/>
    </row>
    <row r="22" spans="2:10" ht="15.75" thickBot="1">
      <c r="B22" s="27"/>
      <c r="C22" s="28"/>
      <c r="D22" s="28"/>
      <c r="E22" s="28"/>
      <c r="F22" s="28"/>
      <c r="G22" s="28"/>
      <c r="H22" s="29"/>
      <c r="I22" s="25"/>
      <c r="J22" s="30"/>
    </row>
    <row r="23" spans="2:10">
      <c r="B23" s="31" t="s">
        <v>8</v>
      </c>
      <c r="C23" s="32" t="s">
        <v>9</v>
      </c>
      <c r="D23" s="32" t="s">
        <v>10</v>
      </c>
      <c r="E23" s="32" t="s">
        <v>11</v>
      </c>
      <c r="F23" s="32"/>
      <c r="G23" s="32"/>
      <c r="H23" s="33"/>
      <c r="I23" s="34"/>
    </row>
    <row r="24" spans="2:10" ht="27.75" customHeight="1" thickBot="1">
      <c r="B24" s="35"/>
      <c r="C24" s="36"/>
      <c r="D24" s="36"/>
      <c r="E24" s="37" t="s">
        <v>12</v>
      </c>
      <c r="F24" s="38" t="s">
        <v>13</v>
      </c>
      <c r="G24" s="38" t="s">
        <v>14</v>
      </c>
      <c r="H24" s="39" t="s">
        <v>15</v>
      </c>
      <c r="I24" s="40"/>
    </row>
    <row r="25" spans="2:10" ht="19.5" customHeight="1">
      <c r="B25" s="41">
        <v>1</v>
      </c>
      <c r="C25" s="42" t="s">
        <v>16</v>
      </c>
      <c r="D25" s="43"/>
      <c r="E25" s="44"/>
      <c r="F25" s="45"/>
      <c r="G25" s="46"/>
      <c r="H25" s="47">
        <f>SUM(G26:G26)</f>
        <v>16964037.358570565</v>
      </c>
      <c r="I25" s="40"/>
    </row>
    <row r="26" spans="2:10">
      <c r="B26" s="48" t="s">
        <v>17</v>
      </c>
      <c r="C26" s="49" t="s">
        <v>18</v>
      </c>
      <c r="D26" s="50" t="s">
        <v>19</v>
      </c>
      <c r="E26" s="51">
        <f>'[1]1. PRELIMINARES'!L16</f>
        <v>4024.0001255500001</v>
      </c>
      <c r="F26" s="52">
        <f>cd1.1</f>
        <v>4215.7149178149994</v>
      </c>
      <c r="G26" s="53">
        <f>+E26*F26</f>
        <v>16964037.358570565</v>
      </c>
      <c r="H26" s="54"/>
      <c r="I26" s="55"/>
    </row>
    <row r="27" spans="2:10">
      <c r="B27" s="41">
        <v>2</v>
      </c>
      <c r="C27" s="56" t="s">
        <v>20</v>
      </c>
      <c r="D27" s="57"/>
      <c r="E27" s="58"/>
      <c r="F27" s="59"/>
      <c r="G27" s="60"/>
      <c r="H27" s="47">
        <f>SUM(G28:G48)</f>
        <v>297502326</v>
      </c>
      <c r="I27" s="55"/>
    </row>
    <row r="28" spans="2:10" ht="48" customHeight="1">
      <c r="B28" s="61">
        <v>2.2000000000000002</v>
      </c>
      <c r="C28" s="62" t="s">
        <v>21</v>
      </c>
      <c r="D28" s="63"/>
      <c r="E28" s="64"/>
      <c r="F28" s="65"/>
      <c r="G28" s="60"/>
      <c r="H28" s="47"/>
      <c r="I28" s="55"/>
    </row>
    <row r="29" spans="2:10" ht="27">
      <c r="B29" s="66" t="s">
        <v>22</v>
      </c>
      <c r="C29" s="67" t="s">
        <v>23</v>
      </c>
      <c r="D29" s="50" t="s">
        <v>24</v>
      </c>
      <c r="E29" s="51">
        <f>'[1]2. CIMENTACION'!O13</f>
        <v>2824.3201205279997</v>
      </c>
      <c r="F29" s="52">
        <f>cd2.2.2</f>
        <v>72003.31543117133</v>
      </c>
      <c r="G29" s="53">
        <f>+ROUND((E29*F29),0)</f>
        <v>203360413</v>
      </c>
      <c r="H29" s="68"/>
      <c r="I29" s="55"/>
    </row>
    <row r="30" spans="2:10" ht="27">
      <c r="B30" s="66" t="s">
        <v>25</v>
      </c>
      <c r="C30" s="49" t="s">
        <v>26</v>
      </c>
      <c r="D30" s="50" t="s">
        <v>24</v>
      </c>
      <c r="E30" s="51">
        <f>'[1]2. CIMENTACION'!M25</f>
        <v>188.61700000000002</v>
      </c>
      <c r="F30" s="52">
        <f>cd2.2.4</f>
        <v>29529.471440789999</v>
      </c>
      <c r="G30" s="53">
        <f>+ROUND((E30*F30),0)</f>
        <v>5569760</v>
      </c>
      <c r="H30" s="68"/>
      <c r="I30" s="55"/>
      <c r="J30" s="69"/>
    </row>
    <row r="31" spans="2:10" ht="27">
      <c r="B31" s="66" t="s">
        <v>27</v>
      </c>
      <c r="C31" s="49" t="s">
        <v>28</v>
      </c>
      <c r="D31" s="50" t="s">
        <v>24</v>
      </c>
      <c r="E31" s="51">
        <f>'[1]2. CIMENTACION'!M37</f>
        <v>100.07999999999998</v>
      </c>
      <c r="F31" s="52">
        <f>cd2.2.5</f>
        <v>65923.170197037995</v>
      </c>
      <c r="G31" s="53">
        <f>+ROUND((E31*F31),0)</f>
        <v>6597591</v>
      </c>
      <c r="H31" s="68"/>
      <c r="I31" s="55"/>
    </row>
    <row r="32" spans="2:10" ht="51" customHeight="1">
      <c r="B32" s="61">
        <v>2.4</v>
      </c>
      <c r="C32" s="62" t="s">
        <v>29</v>
      </c>
      <c r="D32" s="63"/>
      <c r="E32" s="64"/>
      <c r="F32" s="65"/>
      <c r="G32" s="60"/>
      <c r="H32" s="47"/>
      <c r="I32" s="55"/>
    </row>
    <row r="33" spans="2:12" ht="52.5" customHeight="1">
      <c r="B33" s="61"/>
      <c r="C33" s="62" t="s">
        <v>30</v>
      </c>
      <c r="D33" s="63"/>
      <c r="E33" s="64"/>
      <c r="F33" s="60"/>
      <c r="G33" s="60"/>
      <c r="H33" s="47"/>
      <c r="I33" s="55"/>
    </row>
    <row r="34" spans="2:12">
      <c r="B34" s="66" t="s">
        <v>31</v>
      </c>
      <c r="C34" s="67" t="s">
        <v>32</v>
      </c>
      <c r="D34" s="50" t="s">
        <v>33</v>
      </c>
      <c r="E34" s="51">
        <f>'[1]2. CIMENTACION'!K54</f>
        <v>1</v>
      </c>
      <c r="F34" s="52">
        <f>cd2.4.1.9</f>
        <v>8063377.7044111602</v>
      </c>
      <c r="G34" s="53">
        <f>+ROUND((E34*F34),0)</f>
        <v>8063378</v>
      </c>
      <c r="H34" s="68"/>
      <c r="I34" s="55"/>
    </row>
    <row r="35" spans="2:12" ht="53.25" customHeight="1">
      <c r="B35" s="61" t="s">
        <v>34</v>
      </c>
      <c r="C35" s="62" t="s">
        <v>35</v>
      </c>
      <c r="D35" s="63"/>
      <c r="E35" s="64"/>
      <c r="F35" s="60"/>
      <c r="G35" s="60"/>
      <c r="H35" s="47"/>
      <c r="I35" s="55"/>
    </row>
    <row r="36" spans="2:12">
      <c r="B36" s="66" t="s">
        <v>31</v>
      </c>
      <c r="C36" s="70" t="s">
        <v>32</v>
      </c>
      <c r="D36" s="50" t="s">
        <v>33</v>
      </c>
      <c r="E36" s="51">
        <f>'[1]2. CIMENTACION'!K68</f>
        <v>1</v>
      </c>
      <c r="F36" s="52">
        <f>cd2.4.1.9</f>
        <v>8063377.7044111602</v>
      </c>
      <c r="G36" s="53">
        <f>+ROUND((E36*F36),0)</f>
        <v>8063378</v>
      </c>
      <c r="H36" s="68"/>
      <c r="I36" s="55"/>
    </row>
    <row r="37" spans="2:12" ht="48.75" customHeight="1">
      <c r="B37" s="61" t="s">
        <v>36</v>
      </c>
      <c r="C37" s="62" t="s">
        <v>37</v>
      </c>
      <c r="D37" s="63"/>
      <c r="E37" s="64"/>
      <c r="F37" s="60"/>
      <c r="G37" s="60"/>
      <c r="H37" s="47"/>
      <c r="I37" s="55"/>
    </row>
    <row r="38" spans="2:12" ht="27">
      <c r="B38" s="66" t="s">
        <v>38</v>
      </c>
      <c r="C38" s="49" t="s">
        <v>39</v>
      </c>
      <c r="D38" s="50" t="s">
        <v>24</v>
      </c>
      <c r="E38" s="51">
        <f>'[1]2. CIMENTACION'!M86</f>
        <v>103.935</v>
      </c>
      <c r="F38" s="52">
        <f>cd2.4.1.1</f>
        <v>41864.964848100004</v>
      </c>
      <c r="G38" s="53">
        <f t="shared" ref="G38:G46" si="0">+ROUND((E38*F38),0)</f>
        <v>4351235</v>
      </c>
      <c r="H38" s="68"/>
      <c r="I38" s="55"/>
    </row>
    <row r="39" spans="2:12" ht="27">
      <c r="B39" s="66" t="s">
        <v>40</v>
      </c>
      <c r="C39" s="49" t="s">
        <v>41</v>
      </c>
      <c r="D39" s="50" t="s">
        <v>24</v>
      </c>
      <c r="E39" s="51">
        <f>'[1]2. CIMENTACION'!M101</f>
        <v>22.14</v>
      </c>
      <c r="F39" s="52">
        <f>cd2.4.1.2</f>
        <v>72033.518922933334</v>
      </c>
      <c r="G39" s="53">
        <f t="shared" si="0"/>
        <v>1594822</v>
      </c>
      <c r="H39" s="68"/>
      <c r="I39" s="55"/>
    </row>
    <row r="40" spans="2:12">
      <c r="B40" s="66" t="s">
        <v>42</v>
      </c>
      <c r="C40" s="49" t="s">
        <v>43</v>
      </c>
      <c r="D40" s="50" t="s">
        <v>19</v>
      </c>
      <c r="E40" s="51">
        <f>'[1]2. CIMENTACION'!L116</f>
        <v>61.5</v>
      </c>
      <c r="F40" s="52">
        <f>cd2.4.1.3</f>
        <v>24870.178757068748</v>
      </c>
      <c r="G40" s="53">
        <f t="shared" si="0"/>
        <v>1529516</v>
      </c>
      <c r="H40" s="68"/>
      <c r="I40" s="55"/>
      <c r="L40" s="71"/>
    </row>
    <row r="41" spans="2:12" ht="27">
      <c r="B41" s="66" t="s">
        <v>44</v>
      </c>
      <c r="C41" s="49" t="s">
        <v>45</v>
      </c>
      <c r="D41" s="50" t="s">
        <v>19</v>
      </c>
      <c r="E41" s="51">
        <f>'[1]2. CIMENTACION'!L131</f>
        <v>61.5</v>
      </c>
      <c r="F41" s="52">
        <f>cd2.4.1.4</f>
        <v>173644.95116172501</v>
      </c>
      <c r="G41" s="53">
        <f t="shared" si="0"/>
        <v>10679164</v>
      </c>
      <c r="H41" s="68"/>
      <c r="I41" s="55"/>
    </row>
    <row r="42" spans="2:12" ht="27">
      <c r="B42" s="66" t="s">
        <v>46</v>
      </c>
      <c r="C42" s="49" t="s">
        <v>47</v>
      </c>
      <c r="D42" s="50" t="s">
        <v>24</v>
      </c>
      <c r="E42" s="51">
        <f>'[1]2. CIMENTACION'!L145</f>
        <v>8.5399999999999991</v>
      </c>
      <c r="F42" s="52">
        <f>cd2.4.1.5</f>
        <v>788135.04509289993</v>
      </c>
      <c r="G42" s="53">
        <f t="shared" si="0"/>
        <v>6730673</v>
      </c>
      <c r="H42" s="68"/>
      <c r="I42" s="55"/>
    </row>
    <row r="43" spans="2:12" ht="27">
      <c r="B43" s="66" t="s">
        <v>48</v>
      </c>
      <c r="C43" s="49" t="s">
        <v>49</v>
      </c>
      <c r="D43" s="50" t="s">
        <v>19</v>
      </c>
      <c r="E43" s="51">
        <f>'[1]2. CIMENTACION'!L161</f>
        <v>59.769999999999996</v>
      </c>
      <c r="F43" s="52">
        <f>cd2.4.1.6</f>
        <v>171910.75732557999</v>
      </c>
      <c r="G43" s="53">
        <f t="shared" si="0"/>
        <v>10275106</v>
      </c>
      <c r="H43" s="68"/>
      <c r="I43" s="55"/>
    </row>
    <row r="44" spans="2:12" ht="27">
      <c r="B44" s="66" t="s">
        <v>50</v>
      </c>
      <c r="C44" s="49" t="s">
        <v>51</v>
      </c>
      <c r="D44" s="50" t="s">
        <v>33</v>
      </c>
      <c r="E44" s="51">
        <f>'[1]2. CIMENTACION'!K174</f>
        <v>3</v>
      </c>
      <c r="F44" s="52">
        <f>cd2.4.1.7</f>
        <v>540225</v>
      </c>
      <c r="G44" s="53">
        <f t="shared" si="0"/>
        <v>1620675</v>
      </c>
      <c r="H44" s="68"/>
      <c r="I44" s="55"/>
    </row>
    <row r="45" spans="2:12" ht="27">
      <c r="B45" s="66" t="s">
        <v>52</v>
      </c>
      <c r="C45" s="49" t="s">
        <v>53</v>
      </c>
      <c r="D45" s="50" t="s">
        <v>54</v>
      </c>
      <c r="E45" s="51">
        <f>'[1]2. CIMENTACION'!L187</f>
        <v>14.3</v>
      </c>
      <c r="F45" s="52">
        <f>cd2.4.1.8</f>
        <v>139387.5</v>
      </c>
      <c r="G45" s="53">
        <f t="shared" si="0"/>
        <v>1993241</v>
      </c>
      <c r="H45" s="68"/>
      <c r="I45" s="55"/>
    </row>
    <row r="46" spans="2:12">
      <c r="B46" s="66" t="s">
        <v>55</v>
      </c>
      <c r="C46" s="49" t="s">
        <v>32</v>
      </c>
      <c r="D46" s="50" t="s">
        <v>33</v>
      </c>
      <c r="E46" s="51">
        <f>'[1]2. CIMENTACION'!K199</f>
        <v>1</v>
      </c>
      <c r="F46" s="52">
        <f>cd2.4.1.9</f>
        <v>8063377.7044111602</v>
      </c>
      <c r="G46" s="53">
        <f t="shared" si="0"/>
        <v>8063378</v>
      </c>
      <c r="H46" s="68"/>
      <c r="I46" s="55"/>
    </row>
    <row r="47" spans="2:12" ht="51">
      <c r="B47" s="61">
        <v>2.5</v>
      </c>
      <c r="C47" s="62" t="s">
        <v>56</v>
      </c>
      <c r="D47" s="63"/>
      <c r="E47" s="64"/>
      <c r="F47" s="65"/>
      <c r="G47" s="60"/>
      <c r="H47" s="47"/>
      <c r="I47" s="55"/>
    </row>
    <row r="48" spans="2:12">
      <c r="B48" s="66" t="s">
        <v>57</v>
      </c>
      <c r="C48" s="49" t="s">
        <v>58</v>
      </c>
      <c r="D48" s="50" t="s">
        <v>59</v>
      </c>
      <c r="E48" s="51">
        <f>'[1]2. CIMENTACION'!M213</f>
        <v>3441.12</v>
      </c>
      <c r="F48" s="52">
        <f>cd2.5.3</f>
        <v>5524.3628883800002</v>
      </c>
      <c r="G48" s="53">
        <f>+ROUND((E48*F48),0)</f>
        <v>19009996</v>
      </c>
      <c r="H48" s="68"/>
      <c r="I48" s="55"/>
    </row>
    <row r="49" spans="2:9">
      <c r="B49" s="41">
        <v>3</v>
      </c>
      <c r="C49" s="56" t="s">
        <v>60</v>
      </c>
      <c r="D49" s="57"/>
      <c r="E49" s="58"/>
      <c r="F49" s="65"/>
      <c r="G49" s="60"/>
      <c r="H49" s="47">
        <f>SUM(G50:G94)</f>
        <v>1279803750</v>
      </c>
      <c r="I49" s="55"/>
    </row>
    <row r="50" spans="2:9" ht="21" customHeight="1">
      <c r="B50" s="72"/>
      <c r="C50" s="56" t="s">
        <v>61</v>
      </c>
      <c r="D50" s="63"/>
      <c r="E50" s="64"/>
      <c r="F50" s="65"/>
      <c r="G50" s="60"/>
      <c r="H50" s="47"/>
      <c r="I50" s="55"/>
    </row>
    <row r="51" spans="2:9" ht="85.5" customHeight="1">
      <c r="B51" s="61" t="s">
        <v>62</v>
      </c>
      <c r="C51" s="62" t="s">
        <v>63</v>
      </c>
      <c r="D51" s="63"/>
      <c r="E51" s="64"/>
      <c r="F51" s="65"/>
      <c r="G51" s="60"/>
      <c r="H51" s="47"/>
      <c r="I51" s="55"/>
    </row>
    <row r="52" spans="2:9" ht="27">
      <c r="B52" s="66" t="s">
        <v>64</v>
      </c>
      <c r="C52" s="49" t="s">
        <v>65</v>
      </c>
      <c r="D52" s="50" t="s">
        <v>24</v>
      </c>
      <c r="E52" s="51">
        <f>'[1]3. ESTRUCTURA EN CONCRETO'!L14</f>
        <v>15.336</v>
      </c>
      <c r="F52" s="52">
        <f>cd3.1.1</f>
        <v>932473.87604040001</v>
      </c>
      <c r="G52" s="53">
        <f>+ROUND((E52*F52),0)</f>
        <v>14300419</v>
      </c>
      <c r="H52" s="68"/>
      <c r="I52" s="55"/>
    </row>
    <row r="53" spans="2:9" ht="27">
      <c r="B53" s="66" t="s">
        <v>64</v>
      </c>
      <c r="C53" s="49" t="s">
        <v>66</v>
      </c>
      <c r="D53" s="50" t="s">
        <v>24</v>
      </c>
      <c r="E53" s="51">
        <f>'[1]3. ESTRUCTURA EN CONCRETO'!L29</f>
        <v>15.336</v>
      </c>
      <c r="F53" s="52">
        <f>cd3.1.1</f>
        <v>932473.87604040001</v>
      </c>
      <c r="G53" s="53">
        <f>+ROUND((E53*F53),0)</f>
        <v>14300419</v>
      </c>
      <c r="H53" s="68"/>
      <c r="I53" s="55"/>
    </row>
    <row r="54" spans="2:9" ht="239.25" customHeight="1">
      <c r="B54" s="61">
        <v>3.2</v>
      </c>
      <c r="C54" s="62" t="s">
        <v>67</v>
      </c>
      <c r="D54" s="73"/>
      <c r="E54" s="74"/>
      <c r="F54" s="75"/>
      <c r="G54" s="76"/>
      <c r="H54" s="47"/>
      <c r="I54" s="55"/>
    </row>
    <row r="55" spans="2:9" ht="27">
      <c r="B55" s="66" t="s">
        <v>68</v>
      </c>
      <c r="C55" s="49" t="s">
        <v>69</v>
      </c>
      <c r="D55" s="50" t="s">
        <v>24</v>
      </c>
      <c r="E55" s="51">
        <f>'[1]3. ESTRUCTURA EN CONCRETO'!L45</f>
        <v>46.998000000000005</v>
      </c>
      <c r="F55" s="52">
        <f>cd3.2.1</f>
        <v>756943.11814443511</v>
      </c>
      <c r="G55" s="53">
        <f>+ROUND((E55*F55),0)</f>
        <v>35574813</v>
      </c>
      <c r="H55" s="68"/>
      <c r="I55" s="55"/>
    </row>
    <row r="56" spans="2:9" ht="27">
      <c r="B56" s="66" t="s">
        <v>68</v>
      </c>
      <c r="C56" s="49" t="s">
        <v>70</v>
      </c>
      <c r="D56" s="50" t="s">
        <v>24</v>
      </c>
      <c r="E56" s="51">
        <f>'[1]3. ESTRUCTURA EN CONCRETO'!L59</f>
        <v>48.317999999999998</v>
      </c>
      <c r="F56" s="52">
        <f>cd3.2.1</f>
        <v>756943.11814443511</v>
      </c>
      <c r="G56" s="53">
        <f>+ROUND((E56*F56),0)</f>
        <v>36573978</v>
      </c>
      <c r="H56" s="68"/>
      <c r="I56" s="55"/>
    </row>
    <row r="57" spans="2:9" ht="27">
      <c r="B57" s="66" t="s">
        <v>68</v>
      </c>
      <c r="C57" s="49" t="s">
        <v>71</v>
      </c>
      <c r="D57" s="50" t="s">
        <v>24</v>
      </c>
      <c r="E57" s="51">
        <f>'[1]3. ESTRUCTURA EN CONCRETO'!L71</f>
        <v>41.686799999999998</v>
      </c>
      <c r="F57" s="52">
        <f>cd3.2.1</f>
        <v>756943.11814443511</v>
      </c>
      <c r="G57" s="53">
        <f>+ROUND((E57*F57),0)</f>
        <v>31554536</v>
      </c>
      <c r="H57" s="68"/>
      <c r="I57" s="55"/>
    </row>
    <row r="58" spans="2:9" ht="63.75">
      <c r="B58" s="61" t="s">
        <v>72</v>
      </c>
      <c r="C58" s="62" t="s">
        <v>73</v>
      </c>
      <c r="D58" s="73"/>
      <c r="E58" s="64"/>
      <c r="F58" s="65"/>
      <c r="G58" s="60"/>
      <c r="H58" s="47"/>
      <c r="I58" s="55"/>
    </row>
    <row r="59" spans="2:9" ht="27">
      <c r="B59" s="66" t="s">
        <v>74</v>
      </c>
      <c r="C59" s="49" t="s">
        <v>75</v>
      </c>
      <c r="D59" s="50" t="s">
        <v>19</v>
      </c>
      <c r="E59" s="51">
        <f>'[1]3. ESTRUCTURA EN CONCRETO'!K88</f>
        <v>407.06400000000002</v>
      </c>
      <c r="F59" s="52">
        <f>cd3.3.1</f>
        <v>173560.04220827503</v>
      </c>
      <c r="G59" s="53">
        <f>+ROUND((E59*F59),0)</f>
        <v>70650045</v>
      </c>
      <c r="H59" s="68"/>
      <c r="I59" s="55"/>
    </row>
    <row r="60" spans="2:9" ht="27">
      <c r="B60" s="66" t="s">
        <v>74</v>
      </c>
      <c r="C60" s="49" t="s">
        <v>76</v>
      </c>
      <c r="D60" s="50" t="s">
        <v>19</v>
      </c>
      <c r="E60" s="51">
        <f>'[1]3. ESTRUCTURA EN CONCRETO'!K102</f>
        <v>407.06400000000002</v>
      </c>
      <c r="F60" s="52">
        <f>cd3.3.1</f>
        <v>173560.04220827503</v>
      </c>
      <c r="G60" s="53">
        <f>+ROUND((E60*F60),0)</f>
        <v>70650045</v>
      </c>
      <c r="H60" s="68"/>
      <c r="I60" s="55"/>
    </row>
    <row r="61" spans="2:9" ht="27">
      <c r="B61" s="66" t="s">
        <v>74</v>
      </c>
      <c r="C61" s="49" t="s">
        <v>77</v>
      </c>
      <c r="D61" s="50" t="s">
        <v>19</v>
      </c>
      <c r="E61" s="51">
        <f>'[1]3. ESTRUCTURA EN CONCRETO'!K117</f>
        <v>407.06400000000002</v>
      </c>
      <c r="F61" s="52">
        <f>cd3.3.1</f>
        <v>173560.04220827503</v>
      </c>
      <c r="G61" s="53">
        <f>+ROUND((E61*F61),0)</f>
        <v>70650045</v>
      </c>
      <c r="H61" s="68"/>
      <c r="I61" s="55"/>
    </row>
    <row r="62" spans="2:9" ht="95.25" customHeight="1">
      <c r="B62" s="61">
        <v>3.4</v>
      </c>
      <c r="C62" s="62" t="s">
        <v>78</v>
      </c>
      <c r="D62" s="63"/>
      <c r="E62" s="64"/>
      <c r="F62" s="65"/>
      <c r="G62" s="60"/>
      <c r="H62" s="47"/>
      <c r="I62" s="55"/>
    </row>
    <row r="63" spans="2:9">
      <c r="B63" s="66" t="s">
        <v>79</v>
      </c>
      <c r="C63" s="49" t="s">
        <v>80</v>
      </c>
      <c r="D63" s="50" t="s">
        <v>59</v>
      </c>
      <c r="E63" s="51">
        <f>'[1]3. ESTRUCTURA EN CONCRETO'!L134</f>
        <v>4293.0856000000003</v>
      </c>
      <c r="F63" s="52">
        <f>cd3.4.1</f>
        <v>5524.3628883800002</v>
      </c>
      <c r="G63" s="53">
        <f t="shared" ref="G63:G70" si="1">+ROUND((E63*F63),0)</f>
        <v>23716563</v>
      </c>
      <c r="H63" s="68"/>
      <c r="I63" s="55"/>
    </row>
    <row r="64" spans="2:9">
      <c r="B64" s="66" t="s">
        <v>79</v>
      </c>
      <c r="C64" s="49" t="s">
        <v>81</v>
      </c>
      <c r="D64" s="50" t="s">
        <v>59</v>
      </c>
      <c r="E64" s="51">
        <f>'[1]3. ESTRUCTURA EN CONCRETO'!L149</f>
        <v>4797.6008000000002</v>
      </c>
      <c r="F64" s="52">
        <f>cd3.4.1</f>
        <v>5524.3628883800002</v>
      </c>
      <c r="G64" s="53">
        <f t="shared" si="1"/>
        <v>26503688</v>
      </c>
      <c r="H64" s="68"/>
      <c r="I64" s="55"/>
    </row>
    <row r="65" spans="2:11">
      <c r="B65" s="66" t="s">
        <v>82</v>
      </c>
      <c r="C65" s="49" t="s">
        <v>83</v>
      </c>
      <c r="D65" s="50" t="s">
        <v>59</v>
      </c>
      <c r="E65" s="51">
        <f>'[1]3. ESTRUCTURA EN CONCRETO'!L165</f>
        <v>6158.1695</v>
      </c>
      <c r="F65" s="52">
        <f>cd3.4.2</f>
        <v>5524.3628883800002</v>
      </c>
      <c r="G65" s="53">
        <f t="shared" si="1"/>
        <v>34019963</v>
      </c>
      <c r="H65" s="68"/>
      <c r="I65" s="55"/>
    </row>
    <row r="66" spans="2:11">
      <c r="B66" s="66" t="s">
        <v>82</v>
      </c>
      <c r="C66" s="49" t="s">
        <v>84</v>
      </c>
      <c r="D66" s="50" t="s">
        <v>59</v>
      </c>
      <c r="E66" s="51">
        <f>'[1]3. ESTRUCTURA EN CONCRETO'!L181</f>
        <v>6158.1695</v>
      </c>
      <c r="F66" s="52">
        <f>cd3.4.2</f>
        <v>5524.3628883800002</v>
      </c>
      <c r="G66" s="53">
        <f t="shared" si="1"/>
        <v>34019963</v>
      </c>
      <c r="H66" s="68"/>
      <c r="I66" s="55"/>
    </row>
    <row r="67" spans="2:11">
      <c r="B67" s="66" t="s">
        <v>82</v>
      </c>
      <c r="C67" s="49" t="s">
        <v>85</v>
      </c>
      <c r="D67" s="50" t="s">
        <v>59</v>
      </c>
      <c r="E67" s="51">
        <f>'[1]3. ESTRUCTURA EN CONCRETO'!L196</f>
        <v>4577.7825000000003</v>
      </c>
      <c r="F67" s="52">
        <f>cd3.4.2</f>
        <v>5524.3628883800002</v>
      </c>
      <c r="G67" s="53">
        <f t="shared" si="1"/>
        <v>25289332</v>
      </c>
      <c r="H67" s="68"/>
      <c r="I67" s="55"/>
    </row>
    <row r="68" spans="2:11">
      <c r="B68" s="66" t="s">
        <v>86</v>
      </c>
      <c r="C68" s="49" t="s">
        <v>87</v>
      </c>
      <c r="D68" s="50" t="s">
        <v>59</v>
      </c>
      <c r="E68" s="51">
        <f>'[1]3. ESTRUCTURA EN CONCRETO'!L211</f>
        <v>5990.9959999999992</v>
      </c>
      <c r="F68" s="52">
        <f>cd3.4.3</f>
        <v>5524.3628883800002</v>
      </c>
      <c r="G68" s="53">
        <f t="shared" si="1"/>
        <v>33096436</v>
      </c>
      <c r="H68" s="68"/>
      <c r="I68" s="55"/>
    </row>
    <row r="69" spans="2:11">
      <c r="B69" s="66" t="s">
        <v>86</v>
      </c>
      <c r="C69" s="49" t="s">
        <v>88</v>
      </c>
      <c r="D69" s="50" t="s">
        <v>59</v>
      </c>
      <c r="E69" s="51">
        <f>'[1]3. ESTRUCTURA EN CONCRETO'!L226</f>
        <v>5990.9959999999992</v>
      </c>
      <c r="F69" s="52">
        <f>cd3.4.3</f>
        <v>5524.3628883800002</v>
      </c>
      <c r="G69" s="53">
        <f t="shared" si="1"/>
        <v>33096436</v>
      </c>
      <c r="H69" s="68"/>
      <c r="I69" s="55"/>
    </row>
    <row r="70" spans="2:11">
      <c r="B70" s="66" t="s">
        <v>86</v>
      </c>
      <c r="C70" s="49" t="s">
        <v>89</v>
      </c>
      <c r="D70" s="50" t="s">
        <v>59</v>
      </c>
      <c r="E70" s="51">
        <f>'[1]3. ESTRUCTURA EN CONCRETO'!L241</f>
        <v>6027.62</v>
      </c>
      <c r="F70" s="52">
        <f>cd3.4.3</f>
        <v>5524.3628883800002</v>
      </c>
      <c r="G70" s="53">
        <f t="shared" si="1"/>
        <v>33298760</v>
      </c>
      <c r="H70" s="68"/>
      <c r="I70" s="55"/>
    </row>
    <row r="71" spans="2:11">
      <c r="B71" s="72"/>
      <c r="C71" s="56" t="s">
        <v>90</v>
      </c>
      <c r="D71" s="63"/>
      <c r="E71" s="64"/>
      <c r="F71" s="65"/>
      <c r="G71" s="60"/>
      <c r="H71" s="47"/>
      <c r="I71" s="55"/>
    </row>
    <row r="72" spans="2:11" ht="87" customHeight="1">
      <c r="B72" s="61" t="s">
        <v>62</v>
      </c>
      <c r="C72" s="62" t="s">
        <v>91</v>
      </c>
      <c r="D72" s="73"/>
      <c r="E72" s="74"/>
      <c r="F72" s="75"/>
      <c r="G72" s="76"/>
      <c r="H72" s="47"/>
      <c r="I72" s="55"/>
    </row>
    <row r="73" spans="2:11" ht="27">
      <c r="B73" s="66" t="s">
        <v>64</v>
      </c>
      <c r="C73" s="49" t="s">
        <v>92</v>
      </c>
      <c r="D73" s="50" t="s">
        <v>24</v>
      </c>
      <c r="E73" s="51">
        <f>'[1]3. ESTRUCTURA EN CONCRETO'!L261</f>
        <v>21.167999999999999</v>
      </c>
      <c r="F73" s="52">
        <f>cd3.1.1</f>
        <v>932473.87604040001</v>
      </c>
      <c r="G73" s="53">
        <f>+ROUND((E73*F73),0)</f>
        <v>19738607</v>
      </c>
      <c r="H73" s="68"/>
      <c r="I73" s="55"/>
    </row>
    <row r="74" spans="2:11" ht="27">
      <c r="B74" s="66" t="s">
        <v>64</v>
      </c>
      <c r="C74" s="49" t="s">
        <v>66</v>
      </c>
      <c r="D74" s="50" t="s">
        <v>24</v>
      </c>
      <c r="E74" s="51">
        <f>'[1]3. ESTRUCTURA EN CONCRETO'!L276</f>
        <v>21.167999999999999</v>
      </c>
      <c r="F74" s="52">
        <f>cd3.1.1</f>
        <v>932473.87604040001</v>
      </c>
      <c r="G74" s="53">
        <f>+ROUND((E74*F74),0)</f>
        <v>19738607</v>
      </c>
      <c r="H74" s="68"/>
      <c r="I74" s="55"/>
      <c r="K74" s="77"/>
    </row>
    <row r="75" spans="2:11" ht="240" customHeight="1">
      <c r="B75" s="61">
        <v>3.2</v>
      </c>
      <c r="C75" s="62" t="s">
        <v>67</v>
      </c>
      <c r="D75" s="63"/>
      <c r="E75" s="64"/>
      <c r="F75" s="65"/>
      <c r="G75" s="60"/>
      <c r="H75" s="47"/>
      <c r="I75" s="55"/>
    </row>
    <row r="76" spans="2:11" ht="27">
      <c r="B76" s="66" t="s">
        <v>68</v>
      </c>
      <c r="C76" s="49" t="s">
        <v>69</v>
      </c>
      <c r="D76" s="50" t="s">
        <v>24</v>
      </c>
      <c r="E76" s="51">
        <f>'[1]3. ESTRUCTURA EN CONCRETO'!L291</f>
        <v>46.036800000000007</v>
      </c>
      <c r="F76" s="52">
        <f>cd3.2.1</f>
        <v>756943.11814443511</v>
      </c>
      <c r="G76" s="53">
        <f>+ROUND((E76*F76),0)</f>
        <v>34847239</v>
      </c>
      <c r="H76" s="68"/>
      <c r="I76" s="55"/>
    </row>
    <row r="77" spans="2:11" ht="27">
      <c r="B77" s="66" t="s">
        <v>68</v>
      </c>
      <c r="C77" s="49" t="s">
        <v>70</v>
      </c>
      <c r="D77" s="50" t="s">
        <v>24</v>
      </c>
      <c r="E77" s="51">
        <f>'[1]3. ESTRUCTURA EN CONCRETO'!L304</f>
        <v>46.036800000000007</v>
      </c>
      <c r="F77" s="52">
        <f>cd3.2.1</f>
        <v>756943.11814443511</v>
      </c>
      <c r="G77" s="53">
        <f>+ROUND((E77*F77),0)</f>
        <v>34847239</v>
      </c>
      <c r="H77" s="68"/>
      <c r="I77" s="55"/>
    </row>
    <row r="78" spans="2:11" ht="27">
      <c r="B78" s="66" t="s">
        <v>68</v>
      </c>
      <c r="C78" s="49" t="s">
        <v>71</v>
      </c>
      <c r="D78" s="50" t="s">
        <v>24</v>
      </c>
      <c r="E78" s="51">
        <f>'[1]3. ESTRUCTURA EN CONCRETO'!L316</f>
        <v>45.441600000000001</v>
      </c>
      <c r="F78" s="52">
        <f>cd3.2.1</f>
        <v>756943.11814443511</v>
      </c>
      <c r="G78" s="53">
        <f>+ROUND((E78*F78),0)</f>
        <v>34396706</v>
      </c>
      <c r="H78" s="68"/>
      <c r="I78" s="55"/>
    </row>
    <row r="79" spans="2:11" ht="63.75">
      <c r="B79" s="61" t="s">
        <v>72</v>
      </c>
      <c r="C79" s="62" t="s">
        <v>93</v>
      </c>
      <c r="D79" s="73"/>
      <c r="E79" s="74"/>
      <c r="F79" s="75"/>
      <c r="G79" s="76"/>
      <c r="H79" s="47"/>
      <c r="I79" s="55"/>
    </row>
    <row r="80" spans="2:11" ht="27">
      <c r="B80" s="66" t="s">
        <v>74</v>
      </c>
      <c r="C80" s="49" t="s">
        <v>75</v>
      </c>
      <c r="D80" s="50" t="s">
        <v>19</v>
      </c>
      <c r="E80" s="51">
        <f>'[1]3. ESTRUCTURA EN CONCRETO'!K334</f>
        <v>418.81039999999996</v>
      </c>
      <c r="F80" s="52">
        <f>cd3.3.1</f>
        <v>173560.04220827503</v>
      </c>
      <c r="G80" s="53">
        <f>+ROUND((E80*F80),0)</f>
        <v>72688751</v>
      </c>
      <c r="H80" s="68"/>
      <c r="I80" s="55"/>
    </row>
    <row r="81" spans="2:9" ht="27">
      <c r="B81" s="66" t="s">
        <v>74</v>
      </c>
      <c r="C81" s="49" t="s">
        <v>76</v>
      </c>
      <c r="D81" s="50" t="s">
        <v>19</v>
      </c>
      <c r="E81" s="51">
        <f>'[1]3. ESTRUCTURA EN CONCRETO'!K350</f>
        <v>418.81039999999996</v>
      </c>
      <c r="F81" s="52">
        <f>cd3.3.1</f>
        <v>173560.04220827503</v>
      </c>
      <c r="G81" s="53">
        <f>+ROUND((E81*F81),0)</f>
        <v>72688751</v>
      </c>
      <c r="H81" s="68"/>
      <c r="I81" s="55"/>
    </row>
    <row r="82" spans="2:9" ht="27">
      <c r="B82" s="66" t="s">
        <v>74</v>
      </c>
      <c r="C82" s="49" t="s">
        <v>77</v>
      </c>
      <c r="D82" s="50" t="s">
        <v>19</v>
      </c>
      <c r="E82" s="51">
        <f>'[1]3. ESTRUCTURA EN CONCRETO'!K366</f>
        <v>446.46999999999997</v>
      </c>
      <c r="F82" s="52">
        <f>cd3.3.1</f>
        <v>173560.04220827503</v>
      </c>
      <c r="G82" s="53">
        <f>+ROUND((E82*F82),0)</f>
        <v>77489352</v>
      </c>
      <c r="H82" s="68"/>
      <c r="I82" s="55"/>
    </row>
    <row r="83" spans="2:9" ht="65.25" customHeight="1">
      <c r="B83" s="61">
        <v>3.4</v>
      </c>
      <c r="C83" s="62" t="s">
        <v>78</v>
      </c>
      <c r="D83" s="73"/>
      <c r="E83" s="74"/>
      <c r="F83" s="75"/>
      <c r="G83" s="76"/>
      <c r="H83" s="47"/>
      <c r="I83" s="55"/>
    </row>
    <row r="84" spans="2:9">
      <c r="B84" s="66" t="s">
        <v>79</v>
      </c>
      <c r="C84" s="49" t="s">
        <v>80</v>
      </c>
      <c r="D84" s="50" t="s">
        <v>59</v>
      </c>
      <c r="E84" s="51">
        <f>'[1]3. ESTRUCTURA EN CONCRETO'!L383</f>
        <v>6013.2880000000005</v>
      </c>
      <c r="F84" s="52">
        <f>cd3.4.1</f>
        <v>5524.3628883800002</v>
      </c>
      <c r="G84" s="53">
        <f t="shared" ref="G84:G91" si="2">+ROUND((E84*F84),0)</f>
        <v>33219585</v>
      </c>
      <c r="H84" s="68"/>
      <c r="I84" s="55"/>
    </row>
    <row r="85" spans="2:9">
      <c r="B85" s="66" t="s">
        <v>79</v>
      </c>
      <c r="C85" s="49" t="s">
        <v>81</v>
      </c>
      <c r="D85" s="50" t="s">
        <v>59</v>
      </c>
      <c r="E85" s="51">
        <f>'[1]3. ESTRUCTURA EN CONCRETO'!L398</f>
        <v>6013.2880000000005</v>
      </c>
      <c r="F85" s="52">
        <f>cd3.4.1</f>
        <v>5524.3628883800002</v>
      </c>
      <c r="G85" s="53">
        <f>+ROUND((E85*F85),0)</f>
        <v>33219585</v>
      </c>
      <c r="H85" s="68"/>
      <c r="I85" s="55"/>
    </row>
    <row r="86" spans="2:9">
      <c r="B86" s="66" t="s">
        <v>82</v>
      </c>
      <c r="C86" s="49" t="s">
        <v>83</v>
      </c>
      <c r="D86" s="50" t="s">
        <v>59</v>
      </c>
      <c r="E86" s="51">
        <f>'[1]3. ESTRUCTURA EN CONCRETO'!L414</f>
        <v>5834.2001</v>
      </c>
      <c r="F86" s="52">
        <f>cd3.4.2</f>
        <v>5524.3628883800002</v>
      </c>
      <c r="G86" s="53">
        <f t="shared" si="2"/>
        <v>32230239</v>
      </c>
      <c r="H86" s="68"/>
      <c r="I86" s="55"/>
    </row>
    <row r="87" spans="2:9">
      <c r="B87" s="66" t="s">
        <v>82</v>
      </c>
      <c r="C87" s="49" t="s">
        <v>84</v>
      </c>
      <c r="D87" s="50" t="s">
        <v>59</v>
      </c>
      <c r="E87" s="51">
        <f>'[1]3. ESTRUCTURA EN CONCRETO'!L430</f>
        <v>5834.2001</v>
      </c>
      <c r="F87" s="52">
        <f>cd3.4.2</f>
        <v>5524.3628883800002</v>
      </c>
      <c r="G87" s="53">
        <f t="shared" si="2"/>
        <v>32230239</v>
      </c>
      <c r="H87" s="68"/>
      <c r="I87" s="55"/>
    </row>
    <row r="88" spans="2:9">
      <c r="B88" s="66" t="s">
        <v>82</v>
      </c>
      <c r="C88" s="49" t="s">
        <v>85</v>
      </c>
      <c r="D88" s="50" t="s">
        <v>59</v>
      </c>
      <c r="E88" s="51">
        <f>'[1]3. ESTRUCTURA EN CONCRETO'!L446</f>
        <v>5348.9066000000003</v>
      </c>
      <c r="F88" s="52">
        <f>cd3.4.2</f>
        <v>5524.3628883800002</v>
      </c>
      <c r="G88" s="53">
        <f t="shared" si="2"/>
        <v>29549301</v>
      </c>
      <c r="H88" s="68"/>
      <c r="I88" s="55"/>
    </row>
    <row r="89" spans="2:9">
      <c r="B89" s="66" t="s">
        <v>86</v>
      </c>
      <c r="C89" s="49" t="s">
        <v>87</v>
      </c>
      <c r="D89" s="50" t="s">
        <v>59</v>
      </c>
      <c r="E89" s="51">
        <f>'[1]3. ESTRUCTURA EN CONCRETO'!L461</f>
        <v>6090.3359999999993</v>
      </c>
      <c r="F89" s="52">
        <f>cd3.4.3</f>
        <v>5524.3628883800002</v>
      </c>
      <c r="G89" s="53">
        <f t="shared" si="2"/>
        <v>33645226</v>
      </c>
      <c r="H89" s="68"/>
      <c r="I89" s="55"/>
    </row>
    <row r="90" spans="2:9">
      <c r="B90" s="66" t="s">
        <v>86</v>
      </c>
      <c r="C90" s="49" t="s">
        <v>88</v>
      </c>
      <c r="D90" s="50" t="s">
        <v>59</v>
      </c>
      <c r="E90" s="51">
        <f>'[1]3. ESTRUCTURA EN CONCRETO'!L476</f>
        <v>6090.3359999999993</v>
      </c>
      <c r="F90" s="52">
        <f>cd3.4.3</f>
        <v>5524.3628883800002</v>
      </c>
      <c r="G90" s="53">
        <f t="shared" si="2"/>
        <v>33645226</v>
      </c>
      <c r="H90" s="68"/>
      <c r="I90" s="55"/>
    </row>
    <row r="91" spans="2:9">
      <c r="B91" s="66" t="s">
        <v>86</v>
      </c>
      <c r="C91" s="49" t="s">
        <v>89</v>
      </c>
      <c r="D91" s="50" t="s">
        <v>59</v>
      </c>
      <c r="E91" s="51">
        <f>'[1]3. ESTRUCTURA EN CONCRETO'!L491</f>
        <v>6049.7599999999993</v>
      </c>
      <c r="F91" s="52">
        <f>cd3.4.3</f>
        <v>5524.3628883800002</v>
      </c>
      <c r="G91" s="53">
        <f t="shared" si="2"/>
        <v>33421070</v>
      </c>
      <c r="H91" s="68"/>
      <c r="I91" s="55"/>
    </row>
    <row r="92" spans="2:9">
      <c r="B92" s="78" t="s">
        <v>94</v>
      </c>
      <c r="C92" s="79" t="s">
        <v>95</v>
      </c>
      <c r="D92" s="50" t="s">
        <v>59</v>
      </c>
      <c r="E92" s="80">
        <f>'[1]3. ESTRUCTURA EN CONCRETO'!L506</f>
        <v>6034.2000000000007</v>
      </c>
      <c r="F92" s="52">
        <f>cd3.4.4</f>
        <v>5524.3628883800002</v>
      </c>
      <c r="G92" s="81">
        <f>+ROUND((E92*F92),0)</f>
        <v>33335111</v>
      </c>
      <c r="H92" s="68"/>
      <c r="I92" s="55"/>
    </row>
    <row r="93" spans="2:9" ht="63.75">
      <c r="B93" s="61">
        <v>3.5</v>
      </c>
      <c r="C93" s="62" t="s">
        <v>96</v>
      </c>
      <c r="D93" s="73"/>
      <c r="E93" s="74"/>
      <c r="F93" s="75"/>
      <c r="G93" s="76"/>
      <c r="H93" s="47"/>
      <c r="I93" s="55"/>
    </row>
    <row r="94" spans="2:9" ht="27">
      <c r="B94" s="78" t="s">
        <v>97</v>
      </c>
      <c r="C94" s="79" t="s">
        <v>98</v>
      </c>
      <c r="D94" s="82" t="s">
        <v>24</v>
      </c>
      <c r="E94" s="80">
        <f>'[1]3. ESTRUCTURA EN CONCRETO'!L524</f>
        <v>33.574080000000002</v>
      </c>
      <c r="F94" s="52">
        <f>cd3.5.3</f>
        <v>940531.3421429249</v>
      </c>
      <c r="G94" s="81">
        <f>+ROUND((E94*F94),0)</f>
        <v>31577475</v>
      </c>
      <c r="H94" s="68"/>
      <c r="I94" s="55"/>
    </row>
    <row r="95" spans="2:9" ht="51">
      <c r="B95" s="41">
        <v>4</v>
      </c>
      <c r="C95" s="56" t="s">
        <v>99</v>
      </c>
      <c r="D95" s="57"/>
      <c r="E95" s="58"/>
      <c r="F95" s="65"/>
      <c r="G95" s="60"/>
      <c r="H95" s="47">
        <f>SUM(G97:G99)</f>
        <v>766522608</v>
      </c>
      <c r="I95" s="55"/>
    </row>
    <row r="96" spans="2:9" ht="51">
      <c r="B96" s="61">
        <v>4.0999999999999996</v>
      </c>
      <c r="C96" s="62" t="s">
        <v>100</v>
      </c>
      <c r="D96" s="73"/>
      <c r="E96" s="74"/>
      <c r="F96" s="75"/>
      <c r="G96" s="76"/>
      <c r="H96" s="47"/>
      <c r="I96" s="55"/>
    </row>
    <row r="97" spans="2:9" ht="27">
      <c r="B97" s="66" t="s">
        <v>101</v>
      </c>
      <c r="C97" s="49" t="s">
        <v>102</v>
      </c>
      <c r="D97" s="50" t="s">
        <v>19</v>
      </c>
      <c r="E97" s="83">
        <f>'[1]4. ESTRUCTURAS METALICAS'!L14</f>
        <v>321.536</v>
      </c>
      <c r="F97" s="52">
        <f>cd4.1.1</f>
        <v>703286.20673449989</v>
      </c>
      <c r="G97" s="81">
        <f>+ROUND((E97*F97),0)</f>
        <v>226131834</v>
      </c>
      <c r="H97" s="68"/>
      <c r="I97" s="55"/>
    </row>
    <row r="98" spans="2:9" ht="27">
      <c r="B98" s="66" t="s">
        <v>101</v>
      </c>
      <c r="C98" s="49" t="s">
        <v>103</v>
      </c>
      <c r="D98" s="50" t="s">
        <v>19</v>
      </c>
      <c r="E98" s="83">
        <f>'[1]4. ESTRUCTURAS METALICAS'!L29</f>
        <v>321.536</v>
      </c>
      <c r="F98" s="52">
        <f>cd4.1.1</f>
        <v>703286.20673449989</v>
      </c>
      <c r="G98" s="81">
        <f>+ROUND((E98*F98),0)</f>
        <v>226131834</v>
      </c>
      <c r="H98" s="68"/>
      <c r="I98" s="55"/>
    </row>
    <row r="99" spans="2:9" ht="27">
      <c r="B99" s="66" t="s">
        <v>101</v>
      </c>
      <c r="C99" s="49" t="s">
        <v>104</v>
      </c>
      <c r="D99" s="50" t="s">
        <v>19</v>
      </c>
      <c r="E99" s="84">
        <f>'[1]4. ESTRUCTURAS METALICAS'!L44</f>
        <v>446.84359999999998</v>
      </c>
      <c r="F99" s="52">
        <f>cd4.1.1</f>
        <v>703286.20673449989</v>
      </c>
      <c r="G99" s="81">
        <f>+ROUND((E99*F99),0)</f>
        <v>314258940</v>
      </c>
      <c r="H99" s="68"/>
      <c r="I99" s="55"/>
    </row>
    <row r="100" spans="2:9">
      <c r="B100" s="41">
        <v>5</v>
      </c>
      <c r="C100" s="56" t="s">
        <v>105</v>
      </c>
      <c r="D100" s="57"/>
      <c r="E100" s="58"/>
      <c r="F100" s="65"/>
      <c r="G100" s="60"/>
      <c r="H100" s="47">
        <f>SUM(G102:G126)</f>
        <v>80961358</v>
      </c>
      <c r="I100" s="55"/>
    </row>
    <row r="101" spans="2:9">
      <c r="B101" s="72"/>
      <c r="C101" s="56" t="s">
        <v>106</v>
      </c>
      <c r="D101" s="63"/>
      <c r="E101" s="64"/>
      <c r="F101" s="65"/>
      <c r="G101" s="60"/>
      <c r="H101" s="47"/>
      <c r="I101" s="55"/>
    </row>
    <row r="102" spans="2:9" ht="79.5" customHeight="1">
      <c r="B102" s="61">
        <v>5.0999999999999996</v>
      </c>
      <c r="C102" s="62" t="s">
        <v>107</v>
      </c>
      <c r="D102" s="63"/>
      <c r="E102" s="64"/>
      <c r="F102" s="65"/>
      <c r="G102" s="60"/>
      <c r="H102" s="47"/>
      <c r="I102" s="55"/>
    </row>
    <row r="103" spans="2:9" ht="40.5">
      <c r="B103" s="66" t="s">
        <v>108</v>
      </c>
      <c r="C103" s="49" t="s">
        <v>109</v>
      </c>
      <c r="D103" s="50" t="s">
        <v>33</v>
      </c>
      <c r="E103" s="51">
        <f>'[1]5. CONCRETO ARQUITECTONICO'!K13</f>
        <v>73.2</v>
      </c>
      <c r="F103" s="52">
        <f>cd5.1.1</f>
        <v>57745.035513084506</v>
      </c>
      <c r="G103" s="53">
        <f>+ROUND((E103*F103),0)</f>
        <v>4226937</v>
      </c>
      <c r="H103" s="68"/>
      <c r="I103" s="55"/>
    </row>
    <row r="104" spans="2:9" ht="40.5">
      <c r="B104" s="66" t="s">
        <v>108</v>
      </c>
      <c r="C104" s="49" t="s">
        <v>110</v>
      </c>
      <c r="D104" s="50" t="s">
        <v>33</v>
      </c>
      <c r="E104" s="51">
        <f>'[1]5. CONCRETO ARQUITECTONICO'!K27</f>
        <v>73.2</v>
      </c>
      <c r="F104" s="52">
        <f>cd5.1.1</f>
        <v>57745.035513084506</v>
      </c>
      <c r="G104" s="53">
        <f>+ROUND((E104*F104),0)</f>
        <v>4226937</v>
      </c>
      <c r="H104" s="68"/>
      <c r="I104" s="55"/>
    </row>
    <row r="105" spans="2:9" ht="27">
      <c r="B105" s="66" t="s">
        <v>111</v>
      </c>
      <c r="C105" s="49" t="s">
        <v>112</v>
      </c>
      <c r="D105" s="50" t="s">
        <v>54</v>
      </c>
      <c r="E105" s="51">
        <f>'[1]5. CONCRETO ARQUITECTONICO'!K41</f>
        <v>40.380000000000003</v>
      </c>
      <c r="F105" s="52">
        <f>cd5.1.2</f>
        <v>27423.427542437501</v>
      </c>
      <c r="G105" s="53">
        <f>+ROUND((E105*F105),0)</f>
        <v>1107358</v>
      </c>
      <c r="H105" s="68"/>
      <c r="I105" s="55"/>
    </row>
    <row r="106" spans="2:9">
      <c r="B106" s="72"/>
      <c r="C106" s="56" t="s">
        <v>113</v>
      </c>
      <c r="D106" s="63"/>
      <c r="E106" s="64"/>
      <c r="F106" s="65"/>
      <c r="G106" s="60"/>
      <c r="H106" s="47"/>
      <c r="I106" s="55"/>
    </row>
    <row r="107" spans="2:9" ht="79.5" customHeight="1">
      <c r="B107" s="61">
        <v>5.0999999999999996</v>
      </c>
      <c r="C107" s="62" t="s">
        <v>114</v>
      </c>
      <c r="D107" s="63"/>
      <c r="E107" s="64"/>
      <c r="F107" s="65"/>
      <c r="G107" s="60"/>
      <c r="H107" s="47"/>
      <c r="I107" s="55"/>
    </row>
    <row r="108" spans="2:9" ht="40.5">
      <c r="B108" s="66" t="s">
        <v>108</v>
      </c>
      <c r="C108" s="49" t="s">
        <v>109</v>
      </c>
      <c r="D108" s="50" t="s">
        <v>33</v>
      </c>
      <c r="E108" s="51">
        <f>'[1]5. CONCRETO ARQUITECTONICO'!K59</f>
        <v>54.900000000000006</v>
      </c>
      <c r="F108" s="52">
        <f>cd5.1.1</f>
        <v>57745.035513084506</v>
      </c>
      <c r="G108" s="53">
        <f>+ROUND((E108*F108),0)</f>
        <v>3170202</v>
      </c>
      <c r="H108" s="68"/>
      <c r="I108" s="55"/>
    </row>
    <row r="109" spans="2:9" ht="40.5">
      <c r="B109" s="66" t="s">
        <v>108</v>
      </c>
      <c r="C109" s="49" t="s">
        <v>110</v>
      </c>
      <c r="D109" s="50" t="s">
        <v>33</v>
      </c>
      <c r="E109" s="51">
        <f>'[1]5. CONCRETO ARQUITECTONICO'!K73</f>
        <v>109.80000000000001</v>
      </c>
      <c r="F109" s="52">
        <f>cd5.1.1</f>
        <v>57745.035513084506</v>
      </c>
      <c r="G109" s="53">
        <f>+ROUND((E109*F109),0)</f>
        <v>6340405</v>
      </c>
      <c r="H109" s="68"/>
      <c r="I109" s="55"/>
    </row>
    <row r="110" spans="2:9" ht="40.5">
      <c r="B110" s="66" t="s">
        <v>108</v>
      </c>
      <c r="C110" s="49" t="s">
        <v>115</v>
      </c>
      <c r="D110" s="50" t="s">
        <v>33</v>
      </c>
      <c r="E110" s="51">
        <f>'[1]5. CONCRETO ARQUITECTONICO'!K87</f>
        <v>109.80000000000001</v>
      </c>
      <c r="F110" s="52">
        <f>cd5.1.1</f>
        <v>57745.035513084506</v>
      </c>
      <c r="G110" s="53">
        <f>+ROUND((E110*F110),0)</f>
        <v>6340405</v>
      </c>
      <c r="H110" s="68"/>
      <c r="I110" s="55"/>
    </row>
    <row r="111" spans="2:9" ht="27">
      <c r="B111" s="66" t="s">
        <v>111</v>
      </c>
      <c r="C111" s="49" t="s">
        <v>112</v>
      </c>
      <c r="D111" s="50" t="s">
        <v>54</v>
      </c>
      <c r="E111" s="51">
        <f>'[1]5. CONCRETO ARQUITECTONICO'!K102</f>
        <v>74.17</v>
      </c>
      <c r="F111" s="52">
        <f>cd5.1.2</f>
        <v>27423.427542437501</v>
      </c>
      <c r="G111" s="53">
        <f>+ROUND((E111*F111),0)</f>
        <v>2033996</v>
      </c>
      <c r="H111" s="68"/>
      <c r="I111" s="55"/>
    </row>
    <row r="112" spans="2:9" ht="27">
      <c r="B112" s="66" t="s">
        <v>116</v>
      </c>
      <c r="C112" s="49" t="s">
        <v>117</v>
      </c>
      <c r="D112" s="50" t="s">
        <v>19</v>
      </c>
      <c r="E112" s="51">
        <f>'[1]5. CONCRETO ARQUITECTONICO'!K117</f>
        <v>3.9959999999999996</v>
      </c>
      <c r="F112" s="52">
        <f>cd5.1.3</f>
        <v>226664.45145644996</v>
      </c>
      <c r="G112" s="53">
        <f>+ROUND((E112*F112),0)</f>
        <v>905751</v>
      </c>
      <c r="H112" s="68"/>
      <c r="I112" s="55"/>
    </row>
    <row r="113" spans="2:9">
      <c r="B113" s="72"/>
      <c r="C113" s="56" t="s">
        <v>118</v>
      </c>
      <c r="D113" s="63"/>
      <c r="E113" s="64"/>
      <c r="F113" s="65"/>
      <c r="G113" s="60"/>
      <c r="H113" s="47"/>
      <c r="I113" s="55"/>
    </row>
    <row r="114" spans="2:9" ht="81" customHeight="1">
      <c r="B114" s="61">
        <v>5.0999999999999996</v>
      </c>
      <c r="C114" s="62" t="s">
        <v>107</v>
      </c>
      <c r="D114" s="63"/>
      <c r="E114" s="64"/>
      <c r="F114" s="65"/>
      <c r="G114" s="60"/>
      <c r="H114" s="47"/>
      <c r="I114" s="55"/>
    </row>
    <row r="115" spans="2:9" ht="40.5">
      <c r="B115" s="66" t="s">
        <v>108</v>
      </c>
      <c r="C115" s="49" t="s">
        <v>119</v>
      </c>
      <c r="D115" s="50" t="s">
        <v>33</v>
      </c>
      <c r="E115" s="51">
        <f>'[1]5. CONCRETO ARQUITECTONICO'!K135</f>
        <v>36.6</v>
      </c>
      <c r="F115" s="52">
        <f>cd5.1.1</f>
        <v>57745.035513084506</v>
      </c>
      <c r="G115" s="53">
        <f>+ROUND((E115*F115),0)</f>
        <v>2113468</v>
      </c>
      <c r="H115" s="68"/>
      <c r="I115" s="55"/>
    </row>
    <row r="116" spans="2:9" ht="40.5">
      <c r="B116" s="66" t="s">
        <v>108</v>
      </c>
      <c r="C116" s="49" t="s">
        <v>109</v>
      </c>
      <c r="D116" s="50" t="s">
        <v>33</v>
      </c>
      <c r="E116" s="51">
        <f>'[1]5. CONCRETO ARQUITECTONICO'!K149</f>
        <v>109.80000000000001</v>
      </c>
      <c r="F116" s="52">
        <f>cd5.1.1</f>
        <v>57745.035513084506</v>
      </c>
      <c r="G116" s="53">
        <f>+ROUND((E116*F116),0)</f>
        <v>6340405</v>
      </c>
      <c r="H116" s="68"/>
      <c r="I116" s="55"/>
    </row>
    <row r="117" spans="2:9" ht="40.5">
      <c r="B117" s="66" t="s">
        <v>108</v>
      </c>
      <c r="C117" s="49" t="s">
        <v>110</v>
      </c>
      <c r="D117" s="50" t="s">
        <v>33</v>
      </c>
      <c r="E117" s="51">
        <f>'[1]5. CONCRETO ARQUITECTONICO'!K163</f>
        <v>109.80000000000001</v>
      </c>
      <c r="F117" s="52">
        <f>cd5.1.1</f>
        <v>57745.035513084506</v>
      </c>
      <c r="G117" s="53">
        <f>+ROUND((E117*F117),0)</f>
        <v>6340405</v>
      </c>
      <c r="H117" s="68"/>
      <c r="I117" s="55"/>
    </row>
    <row r="118" spans="2:9" ht="40.5">
      <c r="B118" s="66" t="s">
        <v>108</v>
      </c>
      <c r="C118" s="49" t="s">
        <v>115</v>
      </c>
      <c r="D118" s="50" t="s">
        <v>33</v>
      </c>
      <c r="E118" s="51">
        <f>'[1]5. CONCRETO ARQUITECTONICO'!K177</f>
        <v>109.80000000000001</v>
      </c>
      <c r="F118" s="52">
        <f>cd5.1.1</f>
        <v>57745.035513084506</v>
      </c>
      <c r="G118" s="53">
        <f>+ROUND((E118*F118),0)</f>
        <v>6340405</v>
      </c>
      <c r="H118" s="68"/>
      <c r="I118" s="55"/>
    </row>
    <row r="119" spans="2:9" ht="27">
      <c r="B119" s="66" t="s">
        <v>111</v>
      </c>
      <c r="C119" s="49" t="s">
        <v>112</v>
      </c>
      <c r="D119" s="50" t="s">
        <v>54</v>
      </c>
      <c r="E119" s="51">
        <f>'[1]5. CONCRETO ARQUITECTONICO'!K193</f>
        <v>51.58</v>
      </c>
      <c r="F119" s="52">
        <f>cd5.1.2</f>
        <v>27423.427542437501</v>
      </c>
      <c r="G119" s="53">
        <f>+ROUND((E119*F119),0)</f>
        <v>1414500</v>
      </c>
      <c r="H119" s="68"/>
      <c r="I119" s="55"/>
    </row>
    <row r="120" spans="2:9">
      <c r="B120" s="85"/>
      <c r="C120" s="86" t="s">
        <v>120</v>
      </c>
      <c r="D120" s="87"/>
      <c r="E120" s="88"/>
      <c r="F120" s="89"/>
      <c r="G120" s="90"/>
      <c r="H120" s="47"/>
      <c r="I120" s="55"/>
    </row>
    <row r="121" spans="2:9" ht="78.75" customHeight="1">
      <c r="B121" s="91">
        <v>5.0999999999999996</v>
      </c>
      <c r="C121" s="92" t="s">
        <v>114</v>
      </c>
      <c r="D121" s="87"/>
      <c r="E121" s="88"/>
      <c r="F121" s="89"/>
      <c r="G121" s="90"/>
      <c r="H121" s="47"/>
      <c r="I121" s="55"/>
    </row>
    <row r="122" spans="2:9" ht="40.5">
      <c r="B122" s="66" t="s">
        <v>108</v>
      </c>
      <c r="C122" s="49" t="s">
        <v>119</v>
      </c>
      <c r="D122" s="50" t="s">
        <v>33</v>
      </c>
      <c r="E122" s="51">
        <f>'[1]5. CONCRETO ARQUITECTONICO'!K211</f>
        <v>18.3</v>
      </c>
      <c r="F122" s="52">
        <f>cd5.1.1</f>
        <v>57745.035513084506</v>
      </c>
      <c r="G122" s="53">
        <f>+ROUND((E122*F122),0)</f>
        <v>1056734</v>
      </c>
      <c r="H122" s="68"/>
      <c r="I122" s="55"/>
    </row>
    <row r="123" spans="2:9" ht="40.5">
      <c r="B123" s="66" t="s">
        <v>108</v>
      </c>
      <c r="C123" s="49" t="s">
        <v>109</v>
      </c>
      <c r="D123" s="50" t="s">
        <v>33</v>
      </c>
      <c r="E123" s="51">
        <f>'[1]5. CONCRETO ARQUITECTONICO'!K225</f>
        <v>146.4</v>
      </c>
      <c r="F123" s="52">
        <f>cd5.1.1</f>
        <v>57745.035513084506</v>
      </c>
      <c r="G123" s="53">
        <f>+ROUND((E123*F123),0)</f>
        <v>8453873</v>
      </c>
      <c r="H123" s="68"/>
      <c r="I123" s="55"/>
    </row>
    <row r="124" spans="2:9" ht="40.5">
      <c r="B124" s="66" t="s">
        <v>108</v>
      </c>
      <c r="C124" s="49" t="s">
        <v>110</v>
      </c>
      <c r="D124" s="50" t="s">
        <v>33</v>
      </c>
      <c r="E124" s="51">
        <f>'[1]5. CONCRETO ARQUITECTONICO'!K239</f>
        <v>146.4</v>
      </c>
      <c r="F124" s="52">
        <f>cd5.1.1</f>
        <v>57745.035513084506</v>
      </c>
      <c r="G124" s="53">
        <f>+ROUND((E124*F124),0)</f>
        <v>8453873</v>
      </c>
      <c r="H124" s="68"/>
      <c r="I124" s="55"/>
    </row>
    <row r="125" spans="2:9" ht="40.5">
      <c r="B125" s="66" t="s">
        <v>108</v>
      </c>
      <c r="C125" s="49" t="s">
        <v>115</v>
      </c>
      <c r="D125" s="50" t="s">
        <v>33</v>
      </c>
      <c r="E125" s="51">
        <f>'[1]5. CONCRETO ARQUITECTONICO'!K253</f>
        <v>146.4</v>
      </c>
      <c r="F125" s="52">
        <f>cd5.1.1</f>
        <v>57745.035513084506</v>
      </c>
      <c r="G125" s="53">
        <f>+ROUND((E125*F125),0)</f>
        <v>8453873</v>
      </c>
      <c r="H125" s="68"/>
      <c r="I125" s="55"/>
    </row>
    <row r="126" spans="2:9" ht="27">
      <c r="B126" s="66" t="s">
        <v>111</v>
      </c>
      <c r="C126" s="49" t="s">
        <v>112</v>
      </c>
      <c r="D126" s="50" t="s">
        <v>54</v>
      </c>
      <c r="E126" s="51">
        <f>'[1]5. CONCRETO ARQUITECTONICO'!K268</f>
        <v>132.79999999999998</v>
      </c>
      <c r="F126" s="52">
        <f>cd5.1.2</f>
        <v>27423.427542437501</v>
      </c>
      <c r="G126" s="53">
        <f>+ROUND((E126*F126),0)</f>
        <v>3641831</v>
      </c>
      <c r="H126" s="68"/>
      <c r="I126" s="55"/>
    </row>
    <row r="127" spans="2:9" ht="25.5" customHeight="1">
      <c r="B127" s="93">
        <v>6</v>
      </c>
      <c r="C127" s="86" t="s">
        <v>121</v>
      </c>
      <c r="D127" s="94"/>
      <c r="E127" s="95"/>
      <c r="F127" s="89"/>
      <c r="G127" s="60"/>
      <c r="H127" s="47">
        <f>SUM(G127:G243)</f>
        <v>816744136</v>
      </c>
      <c r="I127" s="55"/>
    </row>
    <row r="128" spans="2:9">
      <c r="B128" s="91">
        <v>6.1</v>
      </c>
      <c r="C128" s="92" t="s">
        <v>122</v>
      </c>
      <c r="D128" s="96"/>
      <c r="E128" s="97"/>
      <c r="F128" s="98"/>
      <c r="G128" s="99"/>
      <c r="H128" s="47"/>
      <c r="I128" s="55"/>
    </row>
    <row r="129" spans="2:9">
      <c r="B129" s="91" t="s">
        <v>123</v>
      </c>
      <c r="C129" s="100" t="s">
        <v>16</v>
      </c>
      <c r="D129" s="96"/>
      <c r="E129" s="97"/>
      <c r="F129" s="98"/>
      <c r="G129" s="101"/>
      <c r="H129" s="47"/>
      <c r="I129" s="55"/>
    </row>
    <row r="130" spans="2:9">
      <c r="B130" s="102" t="s">
        <v>124</v>
      </c>
      <c r="C130" s="103" t="s">
        <v>125</v>
      </c>
      <c r="D130" s="50" t="s">
        <v>33</v>
      </c>
      <c r="E130" s="51">
        <f>'[1]6. INSTALACIONES HIDROSANITARIA'!J12</f>
        <v>1</v>
      </c>
      <c r="F130" s="52">
        <f>cd6.1.1.3</f>
        <v>169763.80787436001</v>
      </c>
      <c r="G130" s="53">
        <f t="shared" ref="G130:G160" si="3">+ROUND((E130*F130),0)</f>
        <v>169764</v>
      </c>
      <c r="H130" s="68"/>
      <c r="I130" s="55"/>
    </row>
    <row r="131" spans="2:9" ht="30" customHeight="1">
      <c r="B131" s="102" t="s">
        <v>126</v>
      </c>
      <c r="C131" s="103" t="s">
        <v>127</v>
      </c>
      <c r="D131" s="50" t="s">
        <v>33</v>
      </c>
      <c r="E131" s="51">
        <f>'[1]6. INSTALACIONES HIDROSANITARIA'!J21</f>
        <v>1</v>
      </c>
      <c r="F131" s="52">
        <f>cd6.1.1.4</f>
        <v>384474.68641284999</v>
      </c>
      <c r="G131" s="53">
        <f t="shared" si="3"/>
        <v>384475</v>
      </c>
      <c r="H131" s="68"/>
      <c r="I131" s="55"/>
    </row>
    <row r="132" spans="2:9" ht="24" customHeight="1">
      <c r="B132" s="91" t="s">
        <v>128</v>
      </c>
      <c r="C132" s="104" t="s">
        <v>129</v>
      </c>
      <c r="D132" s="87"/>
      <c r="E132" s="88"/>
      <c r="F132" s="89"/>
      <c r="G132" s="90"/>
      <c r="H132" s="47"/>
      <c r="I132" s="55"/>
    </row>
    <row r="133" spans="2:9">
      <c r="B133" s="102" t="s">
        <v>130</v>
      </c>
      <c r="C133" s="103" t="s">
        <v>131</v>
      </c>
      <c r="D133" s="50" t="s">
        <v>54</v>
      </c>
      <c r="E133" s="51">
        <f>'[1]6. INSTALACIONES HIDROSANITARIA'!J32</f>
        <v>287.32</v>
      </c>
      <c r="F133" s="52">
        <f>cd6.1.2.1</f>
        <v>15457.549763950003</v>
      </c>
      <c r="G133" s="53">
        <f t="shared" si="3"/>
        <v>4441263</v>
      </c>
      <c r="H133" s="68"/>
      <c r="I133" s="55"/>
    </row>
    <row r="134" spans="2:9">
      <c r="B134" s="102" t="s">
        <v>132</v>
      </c>
      <c r="C134" s="103" t="s">
        <v>133</v>
      </c>
      <c r="D134" s="50" t="s">
        <v>54</v>
      </c>
      <c r="E134" s="51">
        <f>'[1]6. INSTALACIONES HIDROSANITARIA'!J41</f>
        <v>111.21</v>
      </c>
      <c r="F134" s="52">
        <f>cd6.1.2.2</f>
        <v>17895.590543949998</v>
      </c>
      <c r="G134" s="53">
        <f t="shared" si="3"/>
        <v>1990169</v>
      </c>
      <c r="H134" s="68"/>
      <c r="I134" s="55"/>
    </row>
    <row r="135" spans="2:9">
      <c r="B135" s="102" t="s">
        <v>134</v>
      </c>
      <c r="C135" s="103" t="s">
        <v>135</v>
      </c>
      <c r="D135" s="50" t="s">
        <v>54</v>
      </c>
      <c r="E135" s="51">
        <f>'[1]6. INSTALACIONES HIDROSANITARIA'!J50</f>
        <v>133.55000000000001</v>
      </c>
      <c r="F135" s="52">
        <f>cd6.1.2.3</f>
        <v>28388.377933649997</v>
      </c>
      <c r="G135" s="53">
        <f t="shared" si="3"/>
        <v>3791268</v>
      </c>
      <c r="H135" s="68"/>
      <c r="I135" s="55"/>
    </row>
    <row r="136" spans="2:9">
      <c r="B136" s="102" t="s">
        <v>136</v>
      </c>
      <c r="C136" s="103" t="s">
        <v>137</v>
      </c>
      <c r="D136" s="50" t="s">
        <v>54</v>
      </c>
      <c r="E136" s="51">
        <f>'[1]6. INSTALACIONES HIDROSANITARIA'!J59</f>
        <v>63.73</v>
      </c>
      <c r="F136" s="52">
        <f>cd6.1.2.4</f>
        <v>36145.929553649999</v>
      </c>
      <c r="G136" s="53">
        <f t="shared" si="3"/>
        <v>2303580</v>
      </c>
      <c r="H136" s="68"/>
      <c r="I136" s="55"/>
    </row>
    <row r="137" spans="2:9">
      <c r="B137" s="102" t="s">
        <v>138</v>
      </c>
      <c r="C137" s="103" t="s">
        <v>139</v>
      </c>
      <c r="D137" s="50" t="s">
        <v>54</v>
      </c>
      <c r="E137" s="51">
        <f>'[1]6. INSTALACIONES HIDROSANITARIA'!J68</f>
        <v>7</v>
      </c>
      <c r="F137" s="52">
        <f>cd6.1.2.5</f>
        <v>113574.72395905999</v>
      </c>
      <c r="G137" s="53">
        <f t="shared" si="3"/>
        <v>795023</v>
      </c>
      <c r="H137" s="68"/>
      <c r="I137" s="55"/>
    </row>
    <row r="138" spans="2:9">
      <c r="B138" s="102" t="s">
        <v>140</v>
      </c>
      <c r="C138" s="103" t="s">
        <v>141</v>
      </c>
      <c r="D138" s="50" t="s">
        <v>54</v>
      </c>
      <c r="E138" s="51">
        <f>'[1]6. INSTALACIONES HIDROSANITARIA'!J77</f>
        <v>5</v>
      </c>
      <c r="F138" s="52">
        <f>cd6.1.2.6</f>
        <v>129891.72395905999</v>
      </c>
      <c r="G138" s="53">
        <f t="shared" si="3"/>
        <v>649459</v>
      </c>
      <c r="H138" s="68"/>
      <c r="I138" s="55"/>
    </row>
    <row r="139" spans="2:9">
      <c r="B139" s="102" t="s">
        <v>142</v>
      </c>
      <c r="C139" s="103" t="s">
        <v>143</v>
      </c>
      <c r="D139" s="50" t="s">
        <v>33</v>
      </c>
      <c r="E139" s="51">
        <f>'[1]6. INSTALACIONES HIDROSANITARIA'!J86</f>
        <v>122</v>
      </c>
      <c r="F139" s="52">
        <f>cd6.1.2.7</f>
        <v>59368.021235320004</v>
      </c>
      <c r="G139" s="53">
        <f t="shared" si="3"/>
        <v>7242899</v>
      </c>
      <c r="H139" s="68"/>
      <c r="I139" s="55"/>
    </row>
    <row r="140" spans="2:9">
      <c r="B140" s="102" t="s">
        <v>144</v>
      </c>
      <c r="C140" s="103" t="s">
        <v>145</v>
      </c>
      <c r="D140" s="50" t="s">
        <v>33</v>
      </c>
      <c r="E140" s="51">
        <f>'[1]6. INSTALACIONES HIDROSANITARIA'!J95</f>
        <v>18</v>
      </c>
      <c r="F140" s="52">
        <f>cd6.1.2.8</f>
        <v>101304.71165807999</v>
      </c>
      <c r="G140" s="53">
        <f t="shared" si="3"/>
        <v>1823485</v>
      </c>
      <c r="H140" s="68"/>
      <c r="I140" s="55"/>
    </row>
    <row r="141" spans="2:9">
      <c r="B141" s="102" t="s">
        <v>146</v>
      </c>
      <c r="C141" s="103" t="s">
        <v>147</v>
      </c>
      <c r="D141" s="50" t="s">
        <v>33</v>
      </c>
      <c r="E141" s="51">
        <f>'[1]6. INSTALACIONES HIDROSANITARIA'!J104</f>
        <v>1</v>
      </c>
      <c r="F141" s="52">
        <f>cd6.1.2.10</f>
        <v>2297352.4498994998</v>
      </c>
      <c r="G141" s="53">
        <f t="shared" si="3"/>
        <v>2297352</v>
      </c>
      <c r="H141" s="68"/>
      <c r="I141" s="55"/>
    </row>
    <row r="142" spans="2:9">
      <c r="B142" s="102" t="s">
        <v>148</v>
      </c>
      <c r="C142" s="103" t="s">
        <v>149</v>
      </c>
      <c r="D142" s="50" t="s">
        <v>33</v>
      </c>
      <c r="E142" s="51">
        <f>'[1]6. INSTALACIONES HIDROSANITARIA'!J113</f>
        <v>1</v>
      </c>
      <c r="F142" s="52">
        <f>cd6.1.2.11</f>
        <v>2457739.9498994998</v>
      </c>
      <c r="G142" s="53">
        <f t="shared" si="3"/>
        <v>2457740</v>
      </c>
      <c r="H142" s="68"/>
      <c r="I142" s="55"/>
    </row>
    <row r="143" spans="2:9">
      <c r="B143" s="102" t="s">
        <v>150</v>
      </c>
      <c r="C143" s="103" t="s">
        <v>151</v>
      </c>
      <c r="D143" s="50" t="s">
        <v>33</v>
      </c>
      <c r="E143" s="51">
        <f>'[1]6. INSTALACIONES HIDROSANITARIA'!J122</f>
        <v>1</v>
      </c>
      <c r="F143" s="52">
        <f>cd6.1.2.12</f>
        <v>2517957.4498994998</v>
      </c>
      <c r="G143" s="53">
        <f t="shared" si="3"/>
        <v>2517957</v>
      </c>
      <c r="H143" s="68"/>
      <c r="I143" s="55"/>
    </row>
    <row r="144" spans="2:9">
      <c r="B144" s="102" t="s">
        <v>152</v>
      </c>
      <c r="C144" s="103" t="s">
        <v>153</v>
      </c>
      <c r="D144" s="50" t="s">
        <v>33</v>
      </c>
      <c r="E144" s="51">
        <f>'[1]6. INSTALACIONES HIDROSANITARIA'!J131</f>
        <v>1</v>
      </c>
      <c r="F144" s="52">
        <f>cd6.1.2.13</f>
        <v>211180.25099849998</v>
      </c>
      <c r="G144" s="53">
        <f t="shared" si="3"/>
        <v>211180</v>
      </c>
      <c r="H144" s="68"/>
      <c r="I144" s="55"/>
    </row>
    <row r="145" spans="2:9">
      <c r="B145" s="91" t="s">
        <v>154</v>
      </c>
      <c r="C145" s="104" t="s">
        <v>155</v>
      </c>
      <c r="D145" s="96"/>
      <c r="E145" s="97"/>
      <c r="F145" s="98"/>
      <c r="G145" s="101"/>
      <c r="H145" s="47"/>
      <c r="I145" s="55"/>
    </row>
    <row r="146" spans="2:9" ht="40.5">
      <c r="B146" s="102" t="s">
        <v>156</v>
      </c>
      <c r="C146" s="103" t="s">
        <v>157</v>
      </c>
      <c r="D146" s="50" t="s">
        <v>33</v>
      </c>
      <c r="E146" s="51">
        <f>'[1]6. INSTALACIONES HIDROSANITARIA'!J142</f>
        <v>2</v>
      </c>
      <c r="F146" s="52">
        <f>cd6.1.3.1</f>
        <v>5464852.9023900004</v>
      </c>
      <c r="G146" s="53">
        <f t="shared" si="3"/>
        <v>10929706</v>
      </c>
      <c r="H146" s="68"/>
      <c r="I146" s="55"/>
    </row>
    <row r="147" spans="2:9">
      <c r="B147" s="102" t="s">
        <v>158</v>
      </c>
      <c r="C147" s="103" t="s">
        <v>159</v>
      </c>
      <c r="D147" s="50" t="s">
        <v>33</v>
      </c>
      <c r="E147" s="51">
        <f>'[1]6. INSTALACIONES HIDROSANITARIA'!J151</f>
        <v>2</v>
      </c>
      <c r="F147" s="52">
        <f>cd6.1.3.2</f>
        <v>710640.95119499997</v>
      </c>
      <c r="G147" s="53">
        <f t="shared" si="3"/>
        <v>1421282</v>
      </c>
      <c r="H147" s="68"/>
      <c r="I147" s="55"/>
    </row>
    <row r="148" spans="2:9">
      <c r="B148" s="91">
        <v>6.2</v>
      </c>
      <c r="C148" s="105" t="s">
        <v>160</v>
      </c>
      <c r="D148" s="87"/>
      <c r="E148" s="88"/>
      <c r="F148" s="89"/>
      <c r="G148" s="106"/>
      <c r="H148" s="47"/>
      <c r="I148" s="55"/>
    </row>
    <row r="149" spans="2:9" ht="28.5" customHeight="1">
      <c r="B149" s="91" t="s">
        <v>161</v>
      </c>
      <c r="C149" s="100" t="s">
        <v>162</v>
      </c>
      <c r="D149" s="87"/>
      <c r="E149" s="88"/>
      <c r="F149" s="89"/>
      <c r="G149" s="90"/>
      <c r="H149" s="47"/>
      <c r="I149" s="55"/>
    </row>
    <row r="150" spans="2:9">
      <c r="B150" s="102" t="s">
        <v>163</v>
      </c>
      <c r="C150" s="103" t="s">
        <v>164</v>
      </c>
      <c r="D150" s="107" t="s">
        <v>54</v>
      </c>
      <c r="E150" s="51">
        <f>'[1]6. INSTALACIONES HIDROSANITARIA'!J166</f>
        <v>348.9</v>
      </c>
      <c r="F150" s="52">
        <f>cd6.2.2.1</f>
        <v>35618.919234499997</v>
      </c>
      <c r="G150" s="53">
        <f t="shared" si="3"/>
        <v>12427441</v>
      </c>
      <c r="H150" s="68"/>
      <c r="I150" s="55"/>
    </row>
    <row r="151" spans="2:9">
      <c r="B151" s="102" t="s">
        <v>165</v>
      </c>
      <c r="C151" s="103" t="s">
        <v>166</v>
      </c>
      <c r="D151" s="107" t="s">
        <v>54</v>
      </c>
      <c r="E151" s="51">
        <f>'[1]6. INSTALACIONES HIDROSANITARIA'!J175</f>
        <v>68.19</v>
      </c>
      <c r="F151" s="52">
        <f>cd6.2.2.2</f>
        <v>40908.532321999999</v>
      </c>
      <c r="G151" s="53">
        <f t="shared" si="3"/>
        <v>2789553</v>
      </c>
      <c r="H151" s="68"/>
      <c r="I151" s="55"/>
    </row>
    <row r="152" spans="2:9">
      <c r="B152" s="102" t="s">
        <v>167</v>
      </c>
      <c r="C152" s="103" t="s">
        <v>168</v>
      </c>
      <c r="D152" s="107" t="s">
        <v>54</v>
      </c>
      <c r="E152" s="51">
        <f>'[1]6. INSTALACIONES HIDROSANITARIA'!J184</f>
        <v>35.46</v>
      </c>
      <c r="F152" s="52">
        <f>cd6.2.2.3</f>
        <v>51748.290271999998</v>
      </c>
      <c r="G152" s="53">
        <f t="shared" si="3"/>
        <v>1834994</v>
      </c>
      <c r="H152" s="68"/>
      <c r="I152" s="55"/>
    </row>
    <row r="153" spans="2:9">
      <c r="B153" s="102" t="s">
        <v>169</v>
      </c>
      <c r="C153" s="103" t="s">
        <v>170</v>
      </c>
      <c r="D153" s="107" t="s">
        <v>54</v>
      </c>
      <c r="E153" s="51">
        <f>'[1]6. INSTALACIONES HIDROSANITARIA'!J193</f>
        <v>56</v>
      </c>
      <c r="F153" s="52">
        <f>cd6.2.2.5</f>
        <v>33989.424234500002</v>
      </c>
      <c r="G153" s="53">
        <f t="shared" si="3"/>
        <v>1903408</v>
      </c>
      <c r="H153" s="68"/>
      <c r="I153" s="55"/>
    </row>
    <row r="154" spans="2:9">
      <c r="B154" s="102" t="s">
        <v>171</v>
      </c>
      <c r="C154" s="103" t="s">
        <v>172</v>
      </c>
      <c r="D154" s="107" t="s">
        <v>33</v>
      </c>
      <c r="E154" s="51">
        <f>'[1]6. INSTALACIONES HIDROSANITARIA'!J202</f>
        <v>71</v>
      </c>
      <c r="F154" s="52">
        <f>cd6.2.2.6</f>
        <v>78436.881599999993</v>
      </c>
      <c r="G154" s="53">
        <f t="shared" si="3"/>
        <v>5569019</v>
      </c>
      <c r="H154" s="68"/>
      <c r="I154" s="55"/>
    </row>
    <row r="155" spans="2:9">
      <c r="B155" s="102" t="s">
        <v>173</v>
      </c>
      <c r="C155" s="103" t="s">
        <v>174</v>
      </c>
      <c r="D155" s="107" t="s">
        <v>33</v>
      </c>
      <c r="E155" s="51">
        <f>'[1]6. INSTALACIONES HIDROSANITARIA'!J211</f>
        <v>8</v>
      </c>
      <c r="F155" s="52">
        <f>cd6.2.2.7</f>
        <v>102684.16409999999</v>
      </c>
      <c r="G155" s="53">
        <f t="shared" si="3"/>
        <v>821473</v>
      </c>
      <c r="H155" s="68"/>
      <c r="I155" s="55"/>
    </row>
    <row r="156" spans="2:9">
      <c r="B156" s="102" t="s">
        <v>175</v>
      </c>
      <c r="C156" s="103" t="s">
        <v>176</v>
      </c>
      <c r="D156" s="107" t="s">
        <v>33</v>
      </c>
      <c r="E156" s="51">
        <f>'[1]6. INSTALACIONES HIDROSANITARIA'!J220</f>
        <v>1</v>
      </c>
      <c r="F156" s="52">
        <f>cd6.2.2.9</f>
        <v>2351259.9353775</v>
      </c>
      <c r="G156" s="53">
        <f t="shared" si="3"/>
        <v>2351260</v>
      </c>
      <c r="H156" s="68"/>
      <c r="I156" s="55"/>
    </row>
    <row r="157" spans="2:9">
      <c r="B157" s="102" t="s">
        <v>177</v>
      </c>
      <c r="C157" s="103" t="s">
        <v>178</v>
      </c>
      <c r="D157" s="107" t="s">
        <v>33</v>
      </c>
      <c r="E157" s="51">
        <f>'[1]6. INSTALACIONES HIDROSANITARIA'!J229</f>
        <v>1</v>
      </c>
      <c r="F157" s="52">
        <f>cd6.2.2.10</f>
        <v>2444958.2603774997</v>
      </c>
      <c r="G157" s="53">
        <f t="shared" si="3"/>
        <v>2444958</v>
      </c>
      <c r="H157" s="68"/>
      <c r="I157" s="55"/>
    </row>
    <row r="158" spans="2:9">
      <c r="B158" s="102" t="s">
        <v>179</v>
      </c>
      <c r="C158" s="103" t="s">
        <v>180</v>
      </c>
      <c r="D158" s="107" t="s">
        <v>33</v>
      </c>
      <c r="E158" s="51">
        <f>'[1]6. INSTALACIONES HIDROSANITARIA'!J238</f>
        <v>1</v>
      </c>
      <c r="F158" s="52">
        <f>cd6.2.2.11</f>
        <v>2357103.1853775</v>
      </c>
      <c r="G158" s="53">
        <f t="shared" si="3"/>
        <v>2357103</v>
      </c>
      <c r="H158" s="68"/>
      <c r="I158" s="55"/>
    </row>
    <row r="159" spans="2:9">
      <c r="B159" s="91" t="s">
        <v>181</v>
      </c>
      <c r="C159" s="105" t="s">
        <v>182</v>
      </c>
      <c r="D159" s="87"/>
      <c r="E159" s="88"/>
      <c r="F159" s="89"/>
      <c r="G159" s="90"/>
      <c r="H159" s="47"/>
      <c r="I159" s="55"/>
    </row>
    <row r="160" spans="2:9">
      <c r="B160" s="66" t="s">
        <v>183</v>
      </c>
      <c r="C160" s="49" t="s">
        <v>184</v>
      </c>
      <c r="D160" s="50" t="s">
        <v>54</v>
      </c>
      <c r="E160" s="51">
        <f>'[1]6. INSTALACIONES HIDROSANITARIA'!J249</f>
        <v>251.7</v>
      </c>
      <c r="F160" s="52">
        <f>cd6.2.4.7</f>
        <v>51748.290271999998</v>
      </c>
      <c r="G160" s="53">
        <f t="shared" si="3"/>
        <v>13025045</v>
      </c>
      <c r="H160" s="68"/>
      <c r="I160" s="55"/>
    </row>
    <row r="161" spans="2:9">
      <c r="B161" s="91" t="s">
        <v>185</v>
      </c>
      <c r="C161" s="100" t="s">
        <v>155</v>
      </c>
      <c r="D161" s="87"/>
      <c r="E161" s="88"/>
      <c r="F161" s="89"/>
      <c r="G161" s="90"/>
      <c r="H161" s="47"/>
      <c r="I161" s="55"/>
    </row>
    <row r="162" spans="2:9" ht="40.5">
      <c r="B162" s="102" t="s">
        <v>186</v>
      </c>
      <c r="C162" s="108" t="s">
        <v>187</v>
      </c>
      <c r="D162" s="50" t="s">
        <v>33</v>
      </c>
      <c r="E162" s="51">
        <f>'[1]6. INSTALACIONES HIDROSANITARIA'!J259</f>
        <v>2</v>
      </c>
      <c r="F162" s="52">
        <f>cd6.2.5.1</f>
        <v>5239239.4023900004</v>
      </c>
      <c r="G162" s="53">
        <f>+ROUND((E162*F162),0)</f>
        <v>10478479</v>
      </c>
      <c r="H162" s="68"/>
      <c r="I162" s="55"/>
    </row>
    <row r="163" spans="2:9">
      <c r="B163" s="102" t="s">
        <v>188</v>
      </c>
      <c r="C163" s="108" t="s">
        <v>189</v>
      </c>
      <c r="D163" s="50" t="s">
        <v>33</v>
      </c>
      <c r="E163" s="51">
        <f>'[1]6. INSTALACIONES HIDROSANITARIA'!J268</f>
        <v>2</v>
      </c>
      <c r="F163" s="52">
        <f>cd6.2.5.2</f>
        <v>854402.84631450009</v>
      </c>
      <c r="G163" s="53">
        <f>+ROUND((E163*F163),0)</f>
        <v>1708806</v>
      </c>
      <c r="H163" s="68"/>
      <c r="I163" s="55"/>
    </row>
    <row r="164" spans="2:9" ht="54" customHeight="1">
      <c r="B164" s="91">
        <v>6.3</v>
      </c>
      <c r="C164" s="105" t="s">
        <v>190</v>
      </c>
      <c r="D164" s="87"/>
      <c r="E164" s="88"/>
      <c r="F164" s="89"/>
      <c r="G164" s="90"/>
      <c r="H164" s="47"/>
      <c r="I164" s="55"/>
    </row>
    <row r="165" spans="2:9">
      <c r="B165" s="91" t="s">
        <v>191</v>
      </c>
      <c r="C165" s="92" t="s">
        <v>192</v>
      </c>
      <c r="D165" s="87"/>
      <c r="E165" s="88"/>
      <c r="F165" s="89"/>
      <c r="G165" s="90"/>
      <c r="H165" s="47"/>
      <c r="I165" s="55"/>
    </row>
    <row r="166" spans="2:9">
      <c r="B166" s="66" t="s">
        <v>193</v>
      </c>
      <c r="C166" s="109" t="s">
        <v>194</v>
      </c>
      <c r="D166" s="50" t="s">
        <v>54</v>
      </c>
      <c r="E166" s="51">
        <f>'[1]6. INSTALACIONES HIDROSANITARIA'!J282</f>
        <v>54</v>
      </c>
      <c r="F166" s="52">
        <f>cd6.3.1.1</f>
        <v>169700.30873530003</v>
      </c>
      <c r="G166" s="53">
        <f t="shared" ref="G166:G198" si="4">+ROUND((E166*F166),0)</f>
        <v>9163817</v>
      </c>
      <c r="H166" s="68"/>
      <c r="I166" s="55"/>
    </row>
    <row r="167" spans="2:9" ht="27">
      <c r="B167" s="66" t="s">
        <v>195</v>
      </c>
      <c r="C167" s="109" t="s">
        <v>196</v>
      </c>
      <c r="D167" s="50" t="s">
        <v>33</v>
      </c>
      <c r="E167" s="51">
        <f>'[1]6. INSTALACIONES HIDROSANITARIA'!J291</f>
        <v>8</v>
      </c>
      <c r="F167" s="52">
        <f>cd6.3.1.3</f>
        <v>72247.794100999992</v>
      </c>
      <c r="G167" s="53">
        <f t="shared" si="4"/>
        <v>577982</v>
      </c>
      <c r="H167" s="68"/>
      <c r="I167" s="55"/>
    </row>
    <row r="168" spans="2:9" ht="27">
      <c r="B168" s="66" t="s">
        <v>197</v>
      </c>
      <c r="C168" s="109" t="s">
        <v>198</v>
      </c>
      <c r="D168" s="50" t="s">
        <v>33</v>
      </c>
      <c r="E168" s="51">
        <f>'[1]6. INSTALACIONES HIDROSANITARIA'!J300</f>
        <v>8</v>
      </c>
      <c r="F168" s="52">
        <f>cd6.3.1.4</f>
        <v>106162.79410099999</v>
      </c>
      <c r="G168" s="53">
        <f t="shared" si="4"/>
        <v>849302</v>
      </c>
      <c r="H168" s="68"/>
      <c r="I168" s="55"/>
    </row>
    <row r="169" spans="2:9">
      <c r="B169" s="91" t="s">
        <v>199</v>
      </c>
      <c r="C169" s="110" t="s">
        <v>200</v>
      </c>
      <c r="D169" s="87"/>
      <c r="E169" s="88"/>
      <c r="F169" s="89"/>
      <c r="G169" s="90"/>
      <c r="H169" s="47"/>
      <c r="I169" s="55"/>
    </row>
    <row r="170" spans="2:9">
      <c r="B170" s="66" t="s">
        <v>201</v>
      </c>
      <c r="C170" s="111" t="s">
        <v>202</v>
      </c>
      <c r="D170" s="50" t="s">
        <v>33</v>
      </c>
      <c r="E170" s="51">
        <f>'[1]6. INSTALACIONES HIDROSANITARIA'!J312</f>
        <v>2</v>
      </c>
      <c r="F170" s="52">
        <f>cd6.3.2.1</f>
        <v>514412.58218980004</v>
      </c>
      <c r="G170" s="53">
        <f t="shared" si="4"/>
        <v>1028825</v>
      </c>
      <c r="H170" s="68"/>
      <c r="I170" s="55"/>
    </row>
    <row r="171" spans="2:9">
      <c r="B171" s="66" t="s">
        <v>203</v>
      </c>
      <c r="C171" s="109" t="s">
        <v>204</v>
      </c>
      <c r="D171" s="50" t="s">
        <v>33</v>
      </c>
      <c r="E171" s="51">
        <f>'[1]6. INSTALACIONES HIDROSANITARIA'!J321</f>
        <v>6</v>
      </c>
      <c r="F171" s="52">
        <f>cd6.3.2.2</f>
        <v>42195.2352808</v>
      </c>
      <c r="G171" s="53">
        <f t="shared" si="4"/>
        <v>253171</v>
      </c>
      <c r="H171" s="68"/>
      <c r="I171" s="55"/>
    </row>
    <row r="172" spans="2:9">
      <c r="B172" s="66" t="s">
        <v>205</v>
      </c>
      <c r="C172" s="109" t="s">
        <v>206</v>
      </c>
      <c r="D172" s="50" t="s">
        <v>33</v>
      </c>
      <c r="E172" s="51">
        <f>'[1]6. INSTALACIONES HIDROSANITARIA'!J330</f>
        <v>8</v>
      </c>
      <c r="F172" s="52">
        <f>cd6.3.2.3</f>
        <v>10732.5588202</v>
      </c>
      <c r="G172" s="53">
        <f t="shared" si="4"/>
        <v>85860</v>
      </c>
      <c r="H172" s="68"/>
      <c r="I172" s="55"/>
    </row>
    <row r="173" spans="2:9" ht="27">
      <c r="B173" s="66" t="s">
        <v>207</v>
      </c>
      <c r="C173" s="109" t="s">
        <v>208</v>
      </c>
      <c r="D173" s="50" t="s">
        <v>33</v>
      </c>
      <c r="E173" s="51">
        <f>'[1]6. INSTALACIONES HIDROSANITARIA'!J339</f>
        <v>8</v>
      </c>
      <c r="F173" s="52">
        <f>cd6.3.2.4</f>
        <v>64920.352921199999</v>
      </c>
      <c r="G173" s="53">
        <f t="shared" si="4"/>
        <v>519363</v>
      </c>
      <c r="H173" s="68"/>
      <c r="I173" s="55"/>
    </row>
    <row r="174" spans="2:9" ht="27">
      <c r="B174" s="66" t="s">
        <v>209</v>
      </c>
      <c r="C174" s="109" t="s">
        <v>210</v>
      </c>
      <c r="D174" s="50" t="s">
        <v>33</v>
      </c>
      <c r="E174" s="51">
        <f>'[1]6. INSTALACIONES HIDROSANITARIA'!J348</f>
        <v>8</v>
      </c>
      <c r="F174" s="52">
        <f>cd6.3.2.5</f>
        <v>50512.794101</v>
      </c>
      <c r="G174" s="53">
        <f t="shared" si="4"/>
        <v>404102</v>
      </c>
      <c r="H174" s="68"/>
      <c r="I174" s="55"/>
    </row>
    <row r="175" spans="2:9">
      <c r="B175" s="66" t="s">
        <v>211</v>
      </c>
      <c r="C175" s="109" t="s">
        <v>212</v>
      </c>
      <c r="D175" s="50" t="s">
        <v>33</v>
      </c>
      <c r="E175" s="51">
        <f>'[1]6. INSTALACIONES HIDROSANITARIA'!J357</f>
        <v>2</v>
      </c>
      <c r="F175" s="52">
        <f>cd6.3.2.6</f>
        <v>33836.455870700003</v>
      </c>
      <c r="G175" s="53">
        <f t="shared" si="4"/>
        <v>67673</v>
      </c>
      <c r="H175" s="68"/>
      <c r="I175" s="55"/>
    </row>
    <row r="176" spans="2:9">
      <c r="B176" s="66" t="s">
        <v>213</v>
      </c>
      <c r="C176" s="109" t="s">
        <v>214</v>
      </c>
      <c r="D176" s="50" t="s">
        <v>33</v>
      </c>
      <c r="E176" s="51">
        <f>'[1]6. INSTALACIONES HIDROSANITARIA'!J366</f>
        <v>16</v>
      </c>
      <c r="F176" s="52">
        <f>cd6.3.2.7</f>
        <v>23282.007345449998</v>
      </c>
      <c r="G176" s="53">
        <f t="shared" si="4"/>
        <v>372512</v>
      </c>
      <c r="H176" s="68"/>
      <c r="I176" s="55"/>
    </row>
    <row r="177" spans="2:9">
      <c r="B177" s="66" t="s">
        <v>215</v>
      </c>
      <c r="C177" s="109" t="s">
        <v>216</v>
      </c>
      <c r="D177" s="50" t="s">
        <v>33</v>
      </c>
      <c r="E177" s="51">
        <f>'[1]6. INSTALACIONES HIDROSANITARIA'!J375</f>
        <v>6</v>
      </c>
      <c r="F177" s="52">
        <f>cd6.3.2.8</f>
        <v>16029.84999434</v>
      </c>
      <c r="G177" s="53">
        <f t="shared" si="4"/>
        <v>96179</v>
      </c>
      <c r="H177" s="68"/>
      <c r="I177" s="55"/>
    </row>
    <row r="178" spans="2:9">
      <c r="B178" s="66" t="s">
        <v>217</v>
      </c>
      <c r="C178" s="109" t="s">
        <v>218</v>
      </c>
      <c r="D178" s="50" t="s">
        <v>33</v>
      </c>
      <c r="E178" s="51">
        <f>'[1]6. INSTALACIONES HIDROSANITARIA'!J384</f>
        <v>21</v>
      </c>
      <c r="F178" s="52">
        <f>cd6.3.2.9</f>
        <v>10627.5588202</v>
      </c>
      <c r="G178" s="53">
        <f t="shared" si="4"/>
        <v>223179</v>
      </c>
      <c r="H178" s="68"/>
      <c r="I178" s="55"/>
    </row>
    <row r="179" spans="2:9">
      <c r="B179" s="66" t="s">
        <v>219</v>
      </c>
      <c r="C179" s="109" t="s">
        <v>220</v>
      </c>
      <c r="D179" s="50" t="s">
        <v>33</v>
      </c>
      <c r="E179" s="51">
        <f>'[1]6. INSTALACIONES HIDROSANITARIA'!J393</f>
        <v>3</v>
      </c>
      <c r="F179" s="52">
        <f>cd6.3.2.10</f>
        <v>757796.91151500004</v>
      </c>
      <c r="G179" s="53">
        <f t="shared" si="4"/>
        <v>2273391</v>
      </c>
      <c r="H179" s="68"/>
      <c r="I179" s="55"/>
    </row>
    <row r="180" spans="2:9">
      <c r="B180" s="91" t="s">
        <v>221</v>
      </c>
      <c r="C180" s="112" t="s">
        <v>222</v>
      </c>
      <c r="D180" s="87"/>
      <c r="E180" s="88"/>
      <c r="F180" s="89"/>
      <c r="G180" s="90"/>
      <c r="H180" s="47"/>
      <c r="I180" s="55"/>
    </row>
    <row r="181" spans="2:9">
      <c r="B181" s="102" t="s">
        <v>223</v>
      </c>
      <c r="C181" s="113" t="s">
        <v>224</v>
      </c>
      <c r="D181" s="50" t="s">
        <v>33</v>
      </c>
      <c r="E181" s="51">
        <f>'[1]6. INSTALACIONES HIDROSANITARIA'!J405</f>
        <v>5</v>
      </c>
      <c r="F181" s="52">
        <f>cd6.3.3.1</f>
        <v>316520.66165649996</v>
      </c>
      <c r="G181" s="53">
        <f t="shared" si="4"/>
        <v>1582603</v>
      </c>
      <c r="H181" s="68"/>
      <c r="I181" s="55"/>
    </row>
    <row r="182" spans="2:9">
      <c r="B182" s="102" t="s">
        <v>225</v>
      </c>
      <c r="C182" s="113" t="s">
        <v>226</v>
      </c>
      <c r="D182" s="50" t="s">
        <v>33</v>
      </c>
      <c r="E182" s="51">
        <f>'[1]6. INSTALACIONES HIDROSANITARIA'!J414</f>
        <v>5</v>
      </c>
      <c r="F182" s="52">
        <f>cd6.3.3.2</f>
        <v>63472.911741399999</v>
      </c>
      <c r="G182" s="53">
        <f t="shared" si="4"/>
        <v>317365</v>
      </c>
      <c r="H182" s="68"/>
      <c r="I182" s="55"/>
    </row>
    <row r="183" spans="2:9">
      <c r="B183" s="102" t="s">
        <v>227</v>
      </c>
      <c r="C183" s="113" t="s">
        <v>228</v>
      </c>
      <c r="D183" s="50" t="s">
        <v>33</v>
      </c>
      <c r="E183" s="51">
        <f>'[1]6. INSTALACIONES HIDROSANITARIA'!J423</f>
        <v>9</v>
      </c>
      <c r="F183" s="52">
        <f>cd6.3.3.3</f>
        <v>262328.97050499998</v>
      </c>
      <c r="G183" s="53">
        <f t="shared" si="4"/>
        <v>2360961</v>
      </c>
      <c r="H183" s="68"/>
      <c r="I183" s="55"/>
    </row>
    <row r="184" spans="2:9">
      <c r="B184" s="102" t="s">
        <v>229</v>
      </c>
      <c r="C184" s="113" t="s">
        <v>230</v>
      </c>
      <c r="D184" s="50" t="s">
        <v>33</v>
      </c>
      <c r="E184" s="51">
        <f>'[1]6. INSTALACIONES HIDROSANITARIA'!J432</f>
        <v>7</v>
      </c>
      <c r="F184" s="52">
        <f>cd6.3.3.4</f>
        <v>266971.52932520001</v>
      </c>
      <c r="G184" s="53">
        <f t="shared" si="4"/>
        <v>1868801</v>
      </c>
      <c r="H184" s="68"/>
      <c r="I184" s="55"/>
    </row>
    <row r="185" spans="2:9">
      <c r="B185" s="66" t="s">
        <v>231</v>
      </c>
      <c r="C185" s="114" t="s">
        <v>232</v>
      </c>
      <c r="D185" s="50" t="s">
        <v>33</v>
      </c>
      <c r="E185" s="51">
        <f>'[1]6. INSTALACIONES HIDROSANITARIA'!J441</f>
        <v>9</v>
      </c>
      <c r="F185" s="52">
        <f>cd6.3.3.5</f>
        <v>24678.8970505</v>
      </c>
      <c r="G185" s="53">
        <f t="shared" si="4"/>
        <v>222110</v>
      </c>
      <c r="H185" s="68"/>
      <c r="I185" s="55"/>
    </row>
    <row r="186" spans="2:9">
      <c r="B186" s="66" t="s">
        <v>233</v>
      </c>
      <c r="C186" s="109" t="s">
        <v>234</v>
      </c>
      <c r="D186" s="50" t="s">
        <v>33</v>
      </c>
      <c r="E186" s="51">
        <f>'[1]6. INSTALACIONES HIDROSANITARIA'!J450</f>
        <v>7</v>
      </c>
      <c r="F186" s="52">
        <f>cd6.3.3.6</f>
        <v>25728.8970505</v>
      </c>
      <c r="G186" s="53">
        <f t="shared" si="4"/>
        <v>180102</v>
      </c>
      <c r="H186" s="68"/>
      <c r="I186" s="55"/>
    </row>
    <row r="187" spans="2:9" ht="27">
      <c r="B187" s="66" t="s">
        <v>235</v>
      </c>
      <c r="C187" s="109" t="s">
        <v>236</v>
      </c>
      <c r="D187" s="50" t="s">
        <v>33</v>
      </c>
      <c r="E187" s="51">
        <f>'[1]6. INSTALACIONES HIDROSANITARIA'!J459</f>
        <v>56</v>
      </c>
      <c r="F187" s="52">
        <f>cd6.3.3.7</f>
        <v>10942.5588202</v>
      </c>
      <c r="G187" s="53">
        <f t="shared" si="4"/>
        <v>612783</v>
      </c>
      <c r="H187" s="68"/>
      <c r="I187" s="55"/>
    </row>
    <row r="188" spans="2:9">
      <c r="B188" s="91" t="s">
        <v>237</v>
      </c>
      <c r="C188" s="110" t="s">
        <v>238</v>
      </c>
      <c r="D188" s="87"/>
      <c r="E188" s="88"/>
      <c r="F188" s="89"/>
      <c r="G188" s="90"/>
      <c r="H188" s="47"/>
      <c r="I188" s="55"/>
    </row>
    <row r="189" spans="2:9">
      <c r="B189" s="66" t="s">
        <v>239</v>
      </c>
      <c r="C189" s="109" t="s">
        <v>240</v>
      </c>
      <c r="D189" s="50" t="s">
        <v>33</v>
      </c>
      <c r="E189" s="51">
        <f>'[1]6. INSTALACIONES HIDROSANITARIA'!J471</f>
        <v>30</v>
      </c>
      <c r="F189" s="52">
        <f>cd6.3.4.1</f>
        <v>20625.1176404</v>
      </c>
      <c r="G189" s="53">
        <f t="shared" si="4"/>
        <v>618754</v>
      </c>
      <c r="H189" s="68"/>
      <c r="I189" s="55"/>
    </row>
    <row r="190" spans="2:9">
      <c r="B190" s="66" t="s">
        <v>241</v>
      </c>
      <c r="C190" s="109" t="s">
        <v>242</v>
      </c>
      <c r="D190" s="50" t="s">
        <v>33</v>
      </c>
      <c r="E190" s="51">
        <f>'[1]6. INSTALACIONES HIDROSANITARIA'!J480</f>
        <v>8</v>
      </c>
      <c r="F190" s="52">
        <f>cd6.3.4.2</f>
        <v>14955.1176404</v>
      </c>
      <c r="G190" s="53">
        <f t="shared" si="4"/>
        <v>119641</v>
      </c>
      <c r="H190" s="68"/>
      <c r="I190" s="55"/>
    </row>
    <row r="191" spans="2:9">
      <c r="B191" s="66" t="s">
        <v>243</v>
      </c>
      <c r="C191" s="109" t="s">
        <v>244</v>
      </c>
      <c r="D191" s="50" t="s">
        <v>33</v>
      </c>
      <c r="E191" s="51">
        <f>'[1]6. INSTALACIONES HIDROSANITARIA'!J489</f>
        <v>8</v>
      </c>
      <c r="F191" s="52">
        <f>cd6.3.4.3</f>
        <v>8632.5588201999999</v>
      </c>
      <c r="G191" s="53">
        <f t="shared" si="4"/>
        <v>69060</v>
      </c>
      <c r="H191" s="68"/>
      <c r="I191" s="55"/>
    </row>
    <row r="192" spans="2:9">
      <c r="B192" s="66" t="s">
        <v>245</v>
      </c>
      <c r="C192" s="109" t="s">
        <v>246</v>
      </c>
      <c r="D192" s="50" t="s">
        <v>33</v>
      </c>
      <c r="E192" s="51">
        <f>'[1]6. INSTALACIONES HIDROSANITARIA'!J498</f>
        <v>4</v>
      </c>
      <c r="F192" s="52">
        <f>cd6.3.4.4</f>
        <v>146771.38230300002</v>
      </c>
      <c r="G192" s="53">
        <f t="shared" si="4"/>
        <v>587086</v>
      </c>
      <c r="H192" s="68"/>
      <c r="I192" s="55"/>
    </row>
    <row r="193" spans="2:10">
      <c r="B193" s="66" t="s">
        <v>247</v>
      </c>
      <c r="C193" s="109" t="s">
        <v>248</v>
      </c>
      <c r="D193" s="50" t="s">
        <v>33</v>
      </c>
      <c r="E193" s="51">
        <f>'[1]6. INSTALACIONES HIDROSANITARIA'!J507</f>
        <v>4</v>
      </c>
      <c r="F193" s="52">
        <f>cd6.3.4.5</f>
        <v>146771.38230300002</v>
      </c>
      <c r="G193" s="53">
        <f t="shared" si="4"/>
        <v>587086</v>
      </c>
      <c r="H193" s="68"/>
      <c r="I193" s="55"/>
    </row>
    <row r="194" spans="2:10">
      <c r="B194" s="91" t="s">
        <v>249</v>
      </c>
      <c r="C194" s="110" t="s">
        <v>250</v>
      </c>
      <c r="D194" s="87"/>
      <c r="E194" s="88"/>
      <c r="F194" s="89"/>
      <c r="G194" s="90"/>
      <c r="H194" s="47"/>
      <c r="I194" s="55"/>
    </row>
    <row r="195" spans="2:10">
      <c r="B195" s="66" t="s">
        <v>251</v>
      </c>
      <c r="C195" s="109" t="s">
        <v>252</v>
      </c>
      <c r="D195" s="50" t="s">
        <v>33</v>
      </c>
      <c r="E195" s="51">
        <f>'[1]6. INSTALACIONES HIDROSANITARIA'!J519</f>
        <v>2</v>
      </c>
      <c r="F195" s="52">
        <f>cd6.3.5.1</f>
        <v>509483.60266649997</v>
      </c>
      <c r="G195" s="53">
        <f t="shared" si="4"/>
        <v>1018967</v>
      </c>
      <c r="H195" s="68"/>
      <c r="I195" s="55"/>
    </row>
    <row r="196" spans="2:10" ht="27">
      <c r="B196" s="66" t="s">
        <v>253</v>
      </c>
      <c r="C196" s="109" t="s">
        <v>254</v>
      </c>
      <c r="D196" s="50" t="s">
        <v>33</v>
      </c>
      <c r="E196" s="51">
        <f>'[1]6. INSTALACIONES HIDROSANITARIA'!J528</f>
        <v>1</v>
      </c>
      <c r="F196" s="52">
        <f>cd6.3.5.2</f>
        <v>2156187.3522419999</v>
      </c>
      <c r="G196" s="53">
        <f t="shared" si="4"/>
        <v>2156187</v>
      </c>
      <c r="H196" s="68"/>
      <c r="I196" s="55"/>
    </row>
    <row r="197" spans="2:10">
      <c r="B197" s="66" t="s">
        <v>255</v>
      </c>
      <c r="C197" s="109" t="s">
        <v>256</v>
      </c>
      <c r="D197" s="50" t="s">
        <v>33</v>
      </c>
      <c r="E197" s="51">
        <f>'[1]6. INSTALACIONES HIDROSANITARIA'!J537</f>
        <v>2</v>
      </c>
      <c r="F197" s="52">
        <f>cd6.3.5.3</f>
        <v>3062511.1865450963</v>
      </c>
      <c r="G197" s="53">
        <f t="shared" si="4"/>
        <v>6125022</v>
      </c>
      <c r="H197" s="68"/>
      <c r="I197" s="55"/>
    </row>
    <row r="198" spans="2:10">
      <c r="B198" s="66" t="s">
        <v>257</v>
      </c>
      <c r="C198" s="109" t="s">
        <v>258</v>
      </c>
      <c r="D198" s="50" t="s">
        <v>33</v>
      </c>
      <c r="E198" s="51">
        <f>'[1]6. INSTALACIONES HIDROSANITARIA'!J546</f>
        <v>2</v>
      </c>
      <c r="F198" s="52">
        <f>cd6.3.5.4</f>
        <v>2525708.1365450965</v>
      </c>
      <c r="G198" s="53">
        <f t="shared" si="4"/>
        <v>5051416</v>
      </c>
      <c r="H198" s="68"/>
      <c r="I198" s="55"/>
    </row>
    <row r="199" spans="2:10">
      <c r="B199" s="91" t="s">
        <v>259</v>
      </c>
      <c r="C199" s="110" t="s">
        <v>260</v>
      </c>
      <c r="D199" s="87"/>
      <c r="E199" s="88"/>
      <c r="F199" s="89"/>
      <c r="G199" s="90"/>
      <c r="H199" s="47"/>
      <c r="I199" s="55"/>
    </row>
    <row r="200" spans="2:10" ht="27">
      <c r="B200" s="66" t="s">
        <v>261</v>
      </c>
      <c r="C200" s="109" t="s">
        <v>262</v>
      </c>
      <c r="D200" s="50" t="s">
        <v>33</v>
      </c>
      <c r="E200" s="51">
        <f>'[1]6. INSTALACIONES HIDROSANITARIA'!J558</f>
        <v>8</v>
      </c>
      <c r="F200" s="52">
        <f>cd6.3.6.1</f>
        <v>1272288.7352525</v>
      </c>
      <c r="G200" s="53">
        <f>+ROUND((E200*F200),0)</f>
        <v>10178310</v>
      </c>
      <c r="H200" s="68"/>
      <c r="I200" s="55"/>
    </row>
    <row r="201" spans="2:10">
      <c r="B201" s="91" t="s">
        <v>263</v>
      </c>
      <c r="C201" s="110" t="s">
        <v>264</v>
      </c>
      <c r="D201" s="87"/>
      <c r="E201" s="88"/>
      <c r="F201" s="89"/>
      <c r="G201" s="90"/>
      <c r="H201" s="47"/>
      <c r="I201" s="55"/>
    </row>
    <row r="202" spans="2:10" ht="54">
      <c r="B202" s="66" t="s">
        <v>265</v>
      </c>
      <c r="C202" s="109" t="s">
        <v>266</v>
      </c>
      <c r="D202" s="50" t="s">
        <v>33</v>
      </c>
      <c r="E202" s="51">
        <f>'[1]6. INSTALACIONES HIDROSANITARIA'!J570</f>
        <v>1</v>
      </c>
      <c r="F202" s="52">
        <f>cd6.3.7.1</f>
        <v>27961.839925249998</v>
      </c>
      <c r="G202" s="53">
        <f>+ROUND((E202*F202),0)</f>
        <v>27962</v>
      </c>
      <c r="H202" s="68"/>
      <c r="I202" s="55"/>
      <c r="J202" s="30"/>
    </row>
    <row r="203" spans="2:10">
      <c r="B203" s="91" t="s">
        <v>267</v>
      </c>
      <c r="C203" s="112" t="s">
        <v>268</v>
      </c>
      <c r="D203" s="87"/>
      <c r="E203" s="88"/>
      <c r="F203" s="89"/>
      <c r="G203" s="90"/>
      <c r="H203" s="47"/>
      <c r="I203" s="55"/>
    </row>
    <row r="204" spans="2:10" ht="40.5">
      <c r="B204" s="115" t="s">
        <v>269</v>
      </c>
      <c r="C204" s="116" t="s">
        <v>270</v>
      </c>
      <c r="D204" s="117" t="s">
        <v>33</v>
      </c>
      <c r="E204" s="80">
        <f>'[1]6. INSTALACIONES HIDROSANITARIA'!J581</f>
        <v>1</v>
      </c>
      <c r="F204" s="52">
        <f>cd6.3.8.1</f>
        <v>81341878.407463327</v>
      </c>
      <c r="G204" s="81">
        <f t="shared" ref="G204:G213" si="5">+ROUND((E204*F204),0)</f>
        <v>81341878</v>
      </c>
      <c r="H204" s="68"/>
      <c r="I204" s="55"/>
    </row>
    <row r="205" spans="2:10">
      <c r="B205" s="102" t="s">
        <v>271</v>
      </c>
      <c r="C205" s="113" t="s">
        <v>272</v>
      </c>
      <c r="D205" s="50" t="s">
        <v>54</v>
      </c>
      <c r="E205" s="51">
        <f>'[1]6. INSTALACIONES HIDROSANITARIA'!J590</f>
        <v>12</v>
      </c>
      <c r="F205" s="52">
        <f>cd6.3.8.2</f>
        <v>64518.72395906</v>
      </c>
      <c r="G205" s="53">
        <f t="shared" si="5"/>
        <v>774225</v>
      </c>
      <c r="H205" s="68"/>
      <c r="I205" s="55"/>
    </row>
    <row r="206" spans="2:10">
      <c r="B206" s="102" t="s">
        <v>273</v>
      </c>
      <c r="C206" s="113" t="s">
        <v>274</v>
      </c>
      <c r="D206" s="50" t="s">
        <v>33</v>
      </c>
      <c r="E206" s="51">
        <f>'[1]6. INSTALACIONES HIDROSANITARIA'!J599</f>
        <v>3</v>
      </c>
      <c r="F206" s="52">
        <f>cd6.3.8.3</f>
        <v>1692572.0849975001</v>
      </c>
      <c r="G206" s="53">
        <f t="shared" si="5"/>
        <v>5077716</v>
      </c>
      <c r="H206" s="68"/>
      <c r="I206" s="55"/>
    </row>
    <row r="207" spans="2:10">
      <c r="B207" s="102" t="s">
        <v>275</v>
      </c>
      <c r="C207" s="113" t="s">
        <v>276</v>
      </c>
      <c r="D207" s="50" t="s">
        <v>33</v>
      </c>
      <c r="E207" s="51">
        <f>'[1]6. INSTALACIONES HIDROSANITARIA'!J608</f>
        <v>40</v>
      </c>
      <c r="F207" s="52">
        <f>cd6.3.8.4</f>
        <v>133695.83399899999</v>
      </c>
      <c r="G207" s="53">
        <f t="shared" si="5"/>
        <v>5347833</v>
      </c>
      <c r="H207" s="68"/>
      <c r="I207" s="55"/>
    </row>
    <row r="208" spans="2:10">
      <c r="B208" s="102" t="s">
        <v>277</v>
      </c>
      <c r="C208" s="113" t="s">
        <v>278</v>
      </c>
      <c r="D208" s="50" t="s">
        <v>33</v>
      </c>
      <c r="E208" s="51">
        <f>'[1]6. INSTALACIONES HIDROSANITARIA'!J617</f>
        <v>1</v>
      </c>
      <c r="F208" s="52">
        <f>cd6.3.8.5</f>
        <v>813862.70279579994</v>
      </c>
      <c r="G208" s="53">
        <f t="shared" si="5"/>
        <v>813863</v>
      </c>
      <c r="H208" s="68"/>
      <c r="I208" s="55"/>
    </row>
    <row r="209" spans="2:9">
      <c r="B209" s="102" t="s">
        <v>279</v>
      </c>
      <c r="C209" s="113" t="s">
        <v>280</v>
      </c>
      <c r="D209" s="50" t="s">
        <v>33</v>
      </c>
      <c r="E209" s="51">
        <f>'[1]6. INSTALACIONES HIDROSANITARIA'!J626</f>
        <v>2</v>
      </c>
      <c r="F209" s="52">
        <f>cd6.3.8.6</f>
        <v>2232198.5849974998</v>
      </c>
      <c r="G209" s="53">
        <f t="shared" si="5"/>
        <v>4464397</v>
      </c>
      <c r="H209" s="68"/>
      <c r="I209" s="55"/>
    </row>
    <row r="210" spans="2:9" ht="27">
      <c r="B210" s="102" t="s">
        <v>281</v>
      </c>
      <c r="C210" s="113" t="s">
        <v>282</v>
      </c>
      <c r="D210" s="50" t="s">
        <v>33</v>
      </c>
      <c r="E210" s="51">
        <f>'[1]6. INSTALACIONES HIDROSANITARIA'!J635</f>
        <v>10</v>
      </c>
      <c r="F210" s="52">
        <f>cd6.3.8.7</f>
        <v>125156.25059909999</v>
      </c>
      <c r="G210" s="53">
        <f t="shared" si="5"/>
        <v>1251563</v>
      </c>
      <c r="H210" s="68"/>
      <c r="I210" s="55"/>
    </row>
    <row r="211" spans="2:9">
      <c r="B211" s="102" t="s">
        <v>283</v>
      </c>
      <c r="C211" s="113" t="s">
        <v>284</v>
      </c>
      <c r="D211" s="50" t="s">
        <v>33</v>
      </c>
      <c r="E211" s="51">
        <f>'[1]6. INSTALACIONES HIDROSANITARIA'!J644</f>
        <v>4</v>
      </c>
      <c r="F211" s="52">
        <f>cd6.3.8.8</f>
        <v>219883.03499750001</v>
      </c>
      <c r="G211" s="53">
        <f t="shared" si="5"/>
        <v>879532</v>
      </c>
      <c r="H211" s="68"/>
      <c r="I211" s="55"/>
    </row>
    <row r="212" spans="2:9">
      <c r="B212" s="102" t="s">
        <v>285</v>
      </c>
      <c r="C212" s="113" t="s">
        <v>276</v>
      </c>
      <c r="D212" s="50" t="s">
        <v>33</v>
      </c>
      <c r="E212" s="51">
        <f>'[1]6. INSTALACIONES HIDROSANITARIA'!J653</f>
        <v>1</v>
      </c>
      <c r="F212" s="52">
        <f>cd6.3.8.9</f>
        <v>11680660.922990501</v>
      </c>
      <c r="G212" s="53">
        <f t="shared" si="5"/>
        <v>11680661</v>
      </c>
      <c r="H212" s="68"/>
      <c r="I212" s="55"/>
    </row>
    <row r="213" spans="2:9" ht="27">
      <c r="B213" s="102" t="s">
        <v>286</v>
      </c>
      <c r="C213" s="113" t="s">
        <v>287</v>
      </c>
      <c r="D213" s="50" t="s">
        <v>33</v>
      </c>
      <c r="E213" s="51">
        <f>'[1]6. INSTALACIONES HIDROSANITARIA'!J662</f>
        <v>1</v>
      </c>
      <c r="F213" s="52">
        <f>cd6.3.8.10</f>
        <v>379383.13230300002</v>
      </c>
      <c r="G213" s="53">
        <f t="shared" si="5"/>
        <v>379383</v>
      </c>
      <c r="H213" s="68"/>
      <c r="I213" s="55"/>
    </row>
    <row r="214" spans="2:9" ht="48" customHeight="1">
      <c r="B214" s="91">
        <v>6.4</v>
      </c>
      <c r="C214" s="105" t="s">
        <v>288</v>
      </c>
      <c r="D214" s="87"/>
      <c r="E214" s="88"/>
      <c r="F214" s="89"/>
      <c r="G214" s="90"/>
      <c r="H214" s="47"/>
      <c r="I214" s="55"/>
    </row>
    <row r="215" spans="2:9">
      <c r="B215" s="91" t="s">
        <v>289</v>
      </c>
      <c r="C215" s="92" t="s">
        <v>290</v>
      </c>
      <c r="D215" s="87"/>
      <c r="E215" s="88"/>
      <c r="F215" s="89"/>
      <c r="G215" s="90"/>
      <c r="H215" s="47"/>
      <c r="I215" s="55"/>
    </row>
    <row r="216" spans="2:9" ht="15" customHeight="1">
      <c r="B216" s="66" t="s">
        <v>291</v>
      </c>
      <c r="C216" s="118" t="s">
        <v>292</v>
      </c>
      <c r="D216" s="50" t="s">
        <v>54</v>
      </c>
      <c r="E216" s="119">
        <f>'[1]6. INSTALACIONES HIDROSANITARIA'!J676</f>
        <v>494</v>
      </c>
      <c r="F216" s="52">
        <f>cd6.4.1.1</f>
        <v>91268.382302999991</v>
      </c>
      <c r="G216" s="53">
        <f t="shared" ref="G216:G243" si="6">+ROUND((E216*F216),0)</f>
        <v>45086581</v>
      </c>
      <c r="H216" s="68"/>
      <c r="I216" s="55"/>
    </row>
    <row r="217" spans="2:9">
      <c r="B217" s="102" t="s">
        <v>293</v>
      </c>
      <c r="C217" s="113" t="s">
        <v>294</v>
      </c>
      <c r="D217" s="50" t="s">
        <v>33</v>
      </c>
      <c r="E217" s="119">
        <f>'[1]6. INSTALACIONES HIDROSANITARIA'!J685</f>
        <v>19</v>
      </c>
      <c r="F217" s="52">
        <f>cd6.4.1.2</f>
        <v>240813.81477719999</v>
      </c>
      <c r="G217" s="53">
        <f t="shared" si="6"/>
        <v>4575462</v>
      </c>
      <c r="H217" s="68"/>
      <c r="I217" s="55"/>
    </row>
    <row r="218" spans="2:9">
      <c r="B218" s="102" t="s">
        <v>295</v>
      </c>
      <c r="C218" s="113" t="s">
        <v>296</v>
      </c>
      <c r="D218" s="50" t="s">
        <v>33</v>
      </c>
      <c r="E218" s="119">
        <f>'[1]6. INSTALACIONES HIDROSANITARIA'!J694</f>
        <v>24</v>
      </c>
      <c r="F218" s="52">
        <f>cd6.4.1.3</f>
        <v>151521.77070450003</v>
      </c>
      <c r="G218" s="53">
        <f t="shared" si="6"/>
        <v>3636522</v>
      </c>
      <c r="H218" s="68"/>
      <c r="I218" s="55"/>
    </row>
    <row r="219" spans="2:9">
      <c r="B219" s="91" t="s">
        <v>297</v>
      </c>
      <c r="C219" s="105" t="s">
        <v>298</v>
      </c>
      <c r="D219" s="87"/>
      <c r="E219" s="88"/>
      <c r="F219" s="89"/>
      <c r="G219" s="90"/>
      <c r="H219" s="47"/>
      <c r="I219" s="55"/>
    </row>
    <row r="220" spans="2:9">
      <c r="B220" s="66" t="s">
        <v>299</v>
      </c>
      <c r="C220" s="109" t="s">
        <v>300</v>
      </c>
      <c r="D220" s="50" t="s">
        <v>33</v>
      </c>
      <c r="E220" s="119">
        <f>'[1]6. INSTALACIONES HIDROSANITARIA'!J705</f>
        <v>200</v>
      </c>
      <c r="F220" s="52">
        <f>cd6.4.2.1</f>
        <v>56273.029381799992</v>
      </c>
      <c r="G220" s="53">
        <f t="shared" si="6"/>
        <v>11254606</v>
      </c>
      <c r="H220" s="68"/>
      <c r="I220" s="55"/>
    </row>
    <row r="221" spans="2:9" ht="27">
      <c r="B221" s="66" t="s">
        <v>301</v>
      </c>
      <c r="C221" s="109" t="s">
        <v>302</v>
      </c>
      <c r="D221" s="50" t="s">
        <v>33</v>
      </c>
      <c r="E221" s="119">
        <f>'[1]6. INSTALACIONES HIDROSANITARIA'!J714</f>
        <v>60</v>
      </c>
      <c r="F221" s="52">
        <f>cd6.4.2.2</f>
        <v>53569.485252500002</v>
      </c>
      <c r="G221" s="53">
        <f t="shared" si="6"/>
        <v>3214169</v>
      </c>
      <c r="H221" s="68"/>
      <c r="I221" s="55"/>
    </row>
    <row r="222" spans="2:9">
      <c r="B222" s="66" t="s">
        <v>303</v>
      </c>
      <c r="C222" s="109" t="s">
        <v>304</v>
      </c>
      <c r="D222" s="50" t="s">
        <v>33</v>
      </c>
      <c r="E222" s="119">
        <f>'[1]6. INSTALACIONES HIDROSANITARIA'!J723</f>
        <v>65</v>
      </c>
      <c r="F222" s="52">
        <f>cd6.4.2.3</f>
        <v>81866.985252500002</v>
      </c>
      <c r="G222" s="53">
        <f t="shared" si="6"/>
        <v>5321354</v>
      </c>
      <c r="H222" s="68"/>
      <c r="I222" s="55"/>
    </row>
    <row r="223" spans="2:9">
      <c r="B223" s="66" t="s">
        <v>305</v>
      </c>
      <c r="C223" s="118" t="s">
        <v>306</v>
      </c>
      <c r="D223" s="50" t="s">
        <v>33</v>
      </c>
      <c r="E223" s="119">
        <f>'[1]6. INSTALACIONES HIDROSANITARIA'!J732</f>
        <v>45</v>
      </c>
      <c r="F223" s="52">
        <f>cd6.4.2.4</f>
        <v>79521.588201999999</v>
      </c>
      <c r="G223" s="53">
        <f t="shared" si="6"/>
        <v>3578471</v>
      </c>
      <c r="H223" s="68"/>
      <c r="I223" s="55"/>
    </row>
    <row r="224" spans="2:9">
      <c r="B224" s="102" t="s">
        <v>307</v>
      </c>
      <c r="C224" s="113" t="s">
        <v>308</v>
      </c>
      <c r="D224" s="50" t="s">
        <v>33</v>
      </c>
      <c r="E224" s="119">
        <f>'[1]6. INSTALACIONES HIDROSANITARIA'!J741</f>
        <v>36</v>
      </c>
      <c r="F224" s="52">
        <f>cd6.4.2.5</f>
        <v>5525.3049741399991</v>
      </c>
      <c r="G224" s="53">
        <f t="shared" si="6"/>
        <v>198911</v>
      </c>
      <c r="H224" s="68"/>
      <c r="I224" s="55"/>
    </row>
    <row r="225" spans="2:9">
      <c r="B225" s="102" t="s">
        <v>309</v>
      </c>
      <c r="C225" s="113" t="s">
        <v>310</v>
      </c>
      <c r="D225" s="50" t="s">
        <v>33</v>
      </c>
      <c r="E225" s="119">
        <f>'[1]6. INSTALACIONES HIDROSANITARIA'!J750</f>
        <v>102</v>
      </c>
      <c r="F225" s="52">
        <f>cd6.4.2.6</f>
        <v>4023.80497414</v>
      </c>
      <c r="G225" s="53">
        <f t="shared" si="6"/>
        <v>410428</v>
      </c>
      <c r="H225" s="68"/>
      <c r="I225" s="55"/>
    </row>
    <row r="226" spans="2:9">
      <c r="B226" s="102" t="s">
        <v>311</v>
      </c>
      <c r="C226" s="113" t="s">
        <v>312</v>
      </c>
      <c r="D226" s="50" t="s">
        <v>33</v>
      </c>
      <c r="E226" s="119">
        <f>'[1]6. INSTALACIONES HIDROSANITARIA'!J759</f>
        <v>14</v>
      </c>
      <c r="F226" s="52">
        <f>cd6.4.2.7</f>
        <v>7310.3049741399991</v>
      </c>
      <c r="G226" s="53">
        <f t="shared" si="6"/>
        <v>102344</v>
      </c>
      <c r="H226" s="68"/>
      <c r="I226" s="55"/>
    </row>
    <row r="227" spans="2:9">
      <c r="B227" s="102" t="s">
        <v>313</v>
      </c>
      <c r="C227" s="113" t="s">
        <v>314</v>
      </c>
      <c r="D227" s="50" t="s">
        <v>33</v>
      </c>
      <c r="E227" s="119">
        <f>'[1]6. INSTALACIONES HIDROSANITARIA'!J768</f>
        <v>50</v>
      </c>
      <c r="F227" s="52">
        <f>cd6.4.2.8</f>
        <v>4932.7932100999997</v>
      </c>
      <c r="G227" s="53">
        <f t="shared" si="6"/>
        <v>246640</v>
      </c>
      <c r="H227" s="68"/>
      <c r="I227" s="55"/>
    </row>
    <row r="228" spans="2:9">
      <c r="B228" s="102" t="s">
        <v>315</v>
      </c>
      <c r="C228" s="113" t="s">
        <v>316</v>
      </c>
      <c r="D228" s="50" t="s">
        <v>33</v>
      </c>
      <c r="E228" s="119">
        <f>'[1]6. INSTALACIONES HIDROSANITARIA'!J777</f>
        <v>5</v>
      </c>
      <c r="F228" s="52">
        <f>cd6.4.2.9</f>
        <v>42884.304974140003</v>
      </c>
      <c r="G228" s="53">
        <f t="shared" si="6"/>
        <v>214422</v>
      </c>
      <c r="H228" s="68"/>
      <c r="I228" s="55"/>
    </row>
    <row r="229" spans="2:9">
      <c r="B229" s="102" t="s">
        <v>317</v>
      </c>
      <c r="C229" s="113" t="s">
        <v>318</v>
      </c>
      <c r="D229" s="50" t="s">
        <v>33</v>
      </c>
      <c r="E229" s="119">
        <f>'[1]6. INSTALACIONES HIDROSANITARIA'!J786</f>
        <v>15</v>
      </c>
      <c r="F229" s="52">
        <f>cd6.4.2.10</f>
        <v>6995.3049741399991</v>
      </c>
      <c r="G229" s="53">
        <f t="shared" si="6"/>
        <v>104930</v>
      </c>
      <c r="H229" s="68"/>
      <c r="I229" s="55"/>
    </row>
    <row r="230" spans="2:9">
      <c r="B230" s="102" t="s">
        <v>319</v>
      </c>
      <c r="C230" s="113" t="s">
        <v>320</v>
      </c>
      <c r="D230" s="50" t="s">
        <v>33</v>
      </c>
      <c r="E230" s="119">
        <f>'[1]6. INSTALACIONES HIDROSANITARIA'!J795</f>
        <v>58</v>
      </c>
      <c r="F230" s="52">
        <f>cd6.4.2.11</f>
        <v>4842.8049741399991</v>
      </c>
      <c r="G230" s="53">
        <f t="shared" si="6"/>
        <v>280883</v>
      </c>
      <c r="H230" s="68"/>
      <c r="I230" s="55"/>
    </row>
    <row r="231" spans="2:9">
      <c r="B231" s="91" t="s">
        <v>321</v>
      </c>
      <c r="C231" s="105" t="s">
        <v>322</v>
      </c>
      <c r="D231" s="87"/>
      <c r="E231" s="88"/>
      <c r="F231" s="89"/>
      <c r="G231" s="90"/>
      <c r="H231" s="47"/>
      <c r="I231" s="55"/>
    </row>
    <row r="232" spans="2:9">
      <c r="B232" s="66" t="s">
        <v>323</v>
      </c>
      <c r="C232" s="109" t="s">
        <v>324</v>
      </c>
      <c r="D232" s="50" t="s">
        <v>33</v>
      </c>
      <c r="E232" s="119">
        <f>'[1]6. INSTALACIONES HIDROSANITARIA'!J807</f>
        <v>280</v>
      </c>
      <c r="F232" s="52">
        <f>cd6.4.3.1</f>
        <v>12622.5588202</v>
      </c>
      <c r="G232" s="53">
        <f t="shared" si="6"/>
        <v>3534316</v>
      </c>
      <c r="H232" s="68"/>
      <c r="I232" s="55"/>
    </row>
    <row r="233" spans="2:9">
      <c r="B233" s="66" t="s">
        <v>325</v>
      </c>
      <c r="C233" s="109" t="s">
        <v>326</v>
      </c>
      <c r="D233" s="50" t="s">
        <v>33</v>
      </c>
      <c r="E233" s="119">
        <f>'[1]6. INSTALACIONES HIDROSANITARIA'!J816</f>
        <v>170</v>
      </c>
      <c r="F233" s="52">
        <f>cd6.4.3.2</f>
        <v>25117.5588202</v>
      </c>
      <c r="G233" s="53">
        <f t="shared" si="6"/>
        <v>4269985</v>
      </c>
      <c r="H233" s="68"/>
      <c r="I233" s="55"/>
    </row>
    <row r="234" spans="2:9">
      <c r="B234" s="91" t="s">
        <v>327</v>
      </c>
      <c r="C234" s="92" t="s">
        <v>328</v>
      </c>
      <c r="D234" s="87"/>
      <c r="E234" s="88"/>
      <c r="F234" s="89"/>
      <c r="G234" s="90"/>
      <c r="H234" s="47"/>
      <c r="I234" s="55"/>
    </row>
    <row r="235" spans="2:9">
      <c r="B235" s="78" t="s">
        <v>329</v>
      </c>
      <c r="C235" s="120" t="s">
        <v>330</v>
      </c>
      <c r="D235" s="117" t="s">
        <v>33</v>
      </c>
      <c r="E235" s="121">
        <f>'[1]6. INSTALACIONES HIDROSANITARIA'!J827</f>
        <v>4</v>
      </c>
      <c r="F235" s="52">
        <f>cd6.4.4.1</f>
        <v>2835926.2699950007</v>
      </c>
      <c r="G235" s="81">
        <f t="shared" si="6"/>
        <v>11343705</v>
      </c>
      <c r="H235" s="68"/>
      <c r="I235" s="55"/>
    </row>
    <row r="236" spans="2:9">
      <c r="B236" s="78" t="s">
        <v>331</v>
      </c>
      <c r="C236" s="120" t="s">
        <v>332</v>
      </c>
      <c r="D236" s="117" t="s">
        <v>33</v>
      </c>
      <c r="E236" s="121">
        <f>'[1]6. INSTALACIONES HIDROSANITARIA'!J836</f>
        <v>3</v>
      </c>
      <c r="F236" s="52">
        <f>cd6.4.4.2</f>
        <v>2495988.7699950002</v>
      </c>
      <c r="G236" s="81">
        <f t="shared" si="6"/>
        <v>7487966</v>
      </c>
      <c r="H236" s="68"/>
      <c r="I236" s="55"/>
    </row>
    <row r="237" spans="2:9">
      <c r="B237" s="78" t="s">
        <v>333</v>
      </c>
      <c r="C237" s="120" t="s">
        <v>334</v>
      </c>
      <c r="D237" s="117" t="s">
        <v>33</v>
      </c>
      <c r="E237" s="121">
        <f>'[1]6. INSTALACIONES HIDROSANITARIA'!J845</f>
        <v>4</v>
      </c>
      <c r="F237" s="52">
        <f>cd6.4.4.3</f>
        <v>1816113.7699950002</v>
      </c>
      <c r="G237" s="81">
        <f t="shared" si="6"/>
        <v>7264455</v>
      </c>
      <c r="H237" s="68"/>
      <c r="I237" s="55"/>
    </row>
    <row r="238" spans="2:9">
      <c r="B238" s="91" t="s">
        <v>335</v>
      </c>
      <c r="C238" s="92" t="s">
        <v>336</v>
      </c>
      <c r="D238" s="87"/>
      <c r="E238" s="88"/>
      <c r="F238" s="89"/>
      <c r="G238" s="90"/>
      <c r="H238" s="47"/>
      <c r="I238" s="55"/>
    </row>
    <row r="239" spans="2:9">
      <c r="B239" s="78" t="s">
        <v>337</v>
      </c>
      <c r="C239" s="120" t="s">
        <v>338</v>
      </c>
      <c r="D239" s="117" t="s">
        <v>33</v>
      </c>
      <c r="E239" s="121">
        <f>'[1]6. INSTALACIONES HIDROSANITARIA'!J857</f>
        <v>5</v>
      </c>
      <c r="F239" s="52">
        <f>cd6.4.5.1</f>
        <v>4804418.8959934991</v>
      </c>
      <c r="G239" s="81">
        <f t="shared" si="6"/>
        <v>24022094</v>
      </c>
      <c r="H239" s="68"/>
      <c r="I239" s="55"/>
    </row>
    <row r="240" spans="2:9">
      <c r="B240" s="91" t="s">
        <v>339</v>
      </c>
      <c r="C240" s="92" t="s">
        <v>340</v>
      </c>
      <c r="D240" s="87"/>
      <c r="E240" s="88"/>
      <c r="F240" s="89"/>
      <c r="G240" s="90"/>
      <c r="H240" s="47"/>
      <c r="I240" s="55"/>
    </row>
    <row r="241" spans="2:11">
      <c r="B241" s="78" t="s">
        <v>341</v>
      </c>
      <c r="C241" s="120" t="s">
        <v>342</v>
      </c>
      <c r="D241" s="117" t="s">
        <v>33</v>
      </c>
      <c r="E241" s="121">
        <f>'[1]6. INSTALACIONES HIDROSANITARIA'!J868</f>
        <v>1</v>
      </c>
      <c r="F241" s="122">
        <f>cd6.4.6.1</f>
        <v>18668036.5</v>
      </c>
      <c r="G241" s="81">
        <f t="shared" si="6"/>
        <v>18668037</v>
      </c>
      <c r="H241" s="68"/>
      <c r="I241" s="55"/>
    </row>
    <row r="242" spans="2:11">
      <c r="B242" s="78" t="s">
        <v>343</v>
      </c>
      <c r="C242" s="120" t="s">
        <v>344</v>
      </c>
      <c r="D242" s="117" t="s">
        <v>33</v>
      </c>
      <c r="E242" s="121">
        <f>'[1]6. INSTALACIONES HIDROSANITARIA'!J877</f>
        <v>1</v>
      </c>
      <c r="F242" s="122">
        <f>cd6.4.6.2</f>
        <v>26870533.735500004</v>
      </c>
      <c r="G242" s="81">
        <f t="shared" si="6"/>
        <v>26870534</v>
      </c>
      <c r="H242" s="68"/>
      <c r="I242" s="55"/>
    </row>
    <row r="243" spans="2:11">
      <c r="B243" s="78" t="s">
        <v>345</v>
      </c>
      <c r="C243" s="120" t="s">
        <v>346</v>
      </c>
      <c r="D243" s="117" t="s">
        <v>33</v>
      </c>
      <c r="E243" s="121">
        <f>'[1]6. INSTALACIONES HIDROSANITARIA'!J886</f>
        <v>8</v>
      </c>
      <c r="F243" s="122">
        <f>cd6.4.6.3</f>
        <v>46538569.623000011</v>
      </c>
      <c r="G243" s="81">
        <f t="shared" si="6"/>
        <v>372308557</v>
      </c>
      <c r="H243" s="68"/>
      <c r="I243" s="55"/>
    </row>
    <row r="244" spans="2:11" ht="25.5">
      <c r="B244" s="93">
        <v>7</v>
      </c>
      <c r="C244" s="86" t="s">
        <v>347</v>
      </c>
      <c r="D244" s="94"/>
      <c r="E244" s="123"/>
      <c r="F244" s="89"/>
      <c r="G244" s="60"/>
      <c r="H244" s="47">
        <f>SUM(G244:G462)</f>
        <v>1840944455</v>
      </c>
      <c r="I244" s="55"/>
    </row>
    <row r="245" spans="2:11">
      <c r="B245" s="124">
        <v>7</v>
      </c>
      <c r="C245" s="92" t="s">
        <v>348</v>
      </c>
      <c r="D245" s="94"/>
      <c r="E245" s="95"/>
      <c r="F245" s="89"/>
      <c r="G245" s="90"/>
      <c r="H245" s="47"/>
      <c r="I245" s="55"/>
    </row>
    <row r="246" spans="2:11" ht="51">
      <c r="B246" s="91">
        <v>7.1</v>
      </c>
      <c r="C246" s="92" t="s">
        <v>349</v>
      </c>
      <c r="D246" s="87"/>
      <c r="E246" s="125"/>
      <c r="F246" s="89"/>
      <c r="G246" s="90"/>
      <c r="H246" s="47"/>
      <c r="I246" s="55"/>
    </row>
    <row r="247" spans="2:11">
      <c r="B247" s="126"/>
      <c r="C247" s="127" t="s">
        <v>350</v>
      </c>
      <c r="D247" s="87"/>
      <c r="E247" s="128"/>
      <c r="F247" s="89"/>
      <c r="G247" s="90"/>
      <c r="H247" s="47"/>
      <c r="I247" s="55"/>
    </row>
    <row r="248" spans="2:11" ht="81">
      <c r="B248" s="129" t="s">
        <v>351</v>
      </c>
      <c r="C248" s="130" t="s">
        <v>352</v>
      </c>
      <c r="D248" s="50" t="s">
        <v>33</v>
      </c>
      <c r="E248" s="131">
        <f>'[1]7. INSTALACIONES ELECTRICAS'!J12</f>
        <v>686</v>
      </c>
      <c r="F248" s="52">
        <f>'[1]CAP 7'!H55</f>
        <v>190626</v>
      </c>
      <c r="G248" s="53">
        <f t="shared" ref="G248:G312" si="7">+ROUND((E248*F248),0)</f>
        <v>130769436</v>
      </c>
      <c r="H248" s="68"/>
      <c r="I248" s="55"/>
      <c r="J248" s="132"/>
      <c r="K248" s="132"/>
    </row>
    <row r="249" spans="2:11" ht="94.5">
      <c r="B249" s="129" t="s">
        <v>353</v>
      </c>
      <c r="C249" s="130" t="s">
        <v>354</v>
      </c>
      <c r="D249" s="50" t="s">
        <v>33</v>
      </c>
      <c r="E249" s="131">
        <f>'[1]7. INSTALACIONES ELECTRICAS'!J21</f>
        <v>100</v>
      </c>
      <c r="F249" s="52">
        <f>'[1]CAP 7'!H110</f>
        <v>202657</v>
      </c>
      <c r="G249" s="53">
        <f t="shared" si="7"/>
        <v>20265700</v>
      </c>
      <c r="H249" s="68"/>
      <c r="I249" s="55"/>
      <c r="J249" s="132"/>
      <c r="K249" s="132"/>
    </row>
    <row r="250" spans="2:11" ht="81">
      <c r="B250" s="129" t="s">
        <v>355</v>
      </c>
      <c r="C250" s="130" t="s">
        <v>356</v>
      </c>
      <c r="D250" s="50" t="s">
        <v>33</v>
      </c>
      <c r="E250" s="131">
        <f>'[1]7. INSTALACIONES ELECTRICAS'!J30</f>
        <v>30</v>
      </c>
      <c r="F250" s="52">
        <f>'[1]CAP 7'!H150</f>
        <v>152919</v>
      </c>
      <c r="G250" s="53">
        <f t="shared" si="7"/>
        <v>4587570</v>
      </c>
      <c r="H250" s="68"/>
      <c r="I250" s="55"/>
      <c r="J250" s="132"/>
      <c r="K250" s="132"/>
    </row>
    <row r="251" spans="2:11">
      <c r="B251" s="133"/>
      <c r="C251" s="127" t="s">
        <v>357</v>
      </c>
      <c r="D251" s="87"/>
      <c r="E251" s="128"/>
      <c r="F251" s="89"/>
      <c r="G251" s="90"/>
      <c r="H251" s="47"/>
      <c r="I251" s="55"/>
      <c r="J251" s="132"/>
      <c r="K251" s="132"/>
    </row>
    <row r="252" spans="2:11" ht="81">
      <c r="B252" s="129" t="s">
        <v>358</v>
      </c>
      <c r="C252" s="130" t="s">
        <v>359</v>
      </c>
      <c r="D252" s="50" t="s">
        <v>33</v>
      </c>
      <c r="E252" s="131">
        <f>'[1]7. INSTALACIONES ELECTRICAS'!J40</f>
        <v>18</v>
      </c>
      <c r="F252" s="52">
        <f>'[1]CAP 7'!H195</f>
        <v>347047</v>
      </c>
      <c r="G252" s="53">
        <f t="shared" si="7"/>
        <v>6246846</v>
      </c>
      <c r="H252" s="68"/>
      <c r="I252" s="55"/>
      <c r="J252" s="132"/>
      <c r="K252" s="132"/>
    </row>
    <row r="253" spans="2:11" ht="81">
      <c r="B253" s="129" t="s">
        <v>358</v>
      </c>
      <c r="C253" s="130" t="s">
        <v>360</v>
      </c>
      <c r="D253" s="50" t="s">
        <v>33</v>
      </c>
      <c r="E253" s="131">
        <f>'[1]7. INSTALACIONES ELECTRICAS'!J49</f>
        <v>18</v>
      </c>
      <c r="F253" s="52">
        <f>'[1]CAP 7'!H240</f>
        <v>347047</v>
      </c>
      <c r="G253" s="53">
        <f t="shared" si="7"/>
        <v>6246846</v>
      </c>
      <c r="H253" s="68"/>
      <c r="I253" s="55"/>
      <c r="J253" s="132"/>
      <c r="K253" s="132"/>
    </row>
    <row r="254" spans="2:11">
      <c r="B254" s="133"/>
      <c r="C254" s="127" t="s">
        <v>361</v>
      </c>
      <c r="D254" s="87"/>
      <c r="E254" s="128"/>
      <c r="F254" s="89"/>
      <c r="G254" s="90"/>
      <c r="H254" s="47"/>
      <c r="I254" s="55"/>
      <c r="J254" s="132"/>
      <c r="K254" s="132"/>
    </row>
    <row r="255" spans="2:11" ht="81">
      <c r="B255" s="129" t="s">
        <v>362</v>
      </c>
      <c r="C255" s="130" t="s">
        <v>363</v>
      </c>
      <c r="D255" s="50" t="s">
        <v>33</v>
      </c>
      <c r="E255" s="131">
        <f>'[1]7. INSTALACIONES ELECTRICAS'!J59</f>
        <v>308</v>
      </c>
      <c r="F255" s="52">
        <f>'[1]CAP 7'!H334</f>
        <v>137688</v>
      </c>
      <c r="G255" s="53">
        <f t="shared" si="7"/>
        <v>42407904</v>
      </c>
      <c r="H255" s="68"/>
      <c r="I255" s="55"/>
      <c r="J255" s="132"/>
      <c r="K255" s="132"/>
    </row>
    <row r="256" spans="2:11" ht="94.5">
      <c r="B256" s="129" t="s">
        <v>364</v>
      </c>
      <c r="C256" s="130" t="s">
        <v>365</v>
      </c>
      <c r="D256" s="50" t="s">
        <v>33</v>
      </c>
      <c r="E256" s="131">
        <f>'[1]7. INSTALACIONES ELECTRICAS'!J68</f>
        <v>27</v>
      </c>
      <c r="F256" s="52">
        <f>'[1]CAP 7'!H428</f>
        <v>153256</v>
      </c>
      <c r="G256" s="53">
        <f t="shared" si="7"/>
        <v>4137912</v>
      </c>
      <c r="H256" s="68"/>
      <c r="I256" s="55"/>
      <c r="J256" s="132"/>
      <c r="K256" s="132"/>
    </row>
    <row r="257" spans="2:11" ht="94.5">
      <c r="B257" s="129" t="s">
        <v>366</v>
      </c>
      <c r="C257" s="130" t="s">
        <v>367</v>
      </c>
      <c r="D257" s="50" t="s">
        <v>33</v>
      </c>
      <c r="E257" s="131">
        <f>'[1]7. INSTALACIONES ELECTRICAS'!J77</f>
        <v>90</v>
      </c>
      <c r="F257" s="52">
        <f>'[1]CAP 7'!H472</f>
        <v>141137</v>
      </c>
      <c r="G257" s="53">
        <f t="shared" si="7"/>
        <v>12702330</v>
      </c>
      <c r="H257" s="68"/>
      <c r="I257" s="55"/>
      <c r="J257" s="132"/>
      <c r="K257" s="132"/>
    </row>
    <row r="258" spans="2:11" ht="81">
      <c r="B258" s="129" t="s">
        <v>368</v>
      </c>
      <c r="C258" s="130" t="s">
        <v>369</v>
      </c>
      <c r="D258" s="50" t="s">
        <v>33</v>
      </c>
      <c r="E258" s="131">
        <f>'[1]7. INSTALACIONES ELECTRICAS'!J86</f>
        <v>104</v>
      </c>
      <c r="F258" s="52">
        <f>'[1]CAP 7'!H522</f>
        <v>180540</v>
      </c>
      <c r="G258" s="53">
        <f t="shared" si="7"/>
        <v>18776160</v>
      </c>
      <c r="H258" s="68"/>
      <c r="I258" s="55"/>
      <c r="J258" s="132"/>
      <c r="K258" s="132"/>
    </row>
    <row r="259" spans="2:11" ht="67.5">
      <c r="B259" s="129" t="s">
        <v>370</v>
      </c>
      <c r="C259" s="130" t="s">
        <v>371</v>
      </c>
      <c r="D259" s="50" t="s">
        <v>33</v>
      </c>
      <c r="E259" s="131">
        <f>'[1]7. INSTALACIONES ELECTRICAS'!J95</f>
        <v>9</v>
      </c>
      <c r="F259" s="52">
        <f>'[1]CAP 7'!H572</f>
        <v>256695</v>
      </c>
      <c r="G259" s="53">
        <f t="shared" si="7"/>
        <v>2310255</v>
      </c>
      <c r="H259" s="68"/>
      <c r="I259" s="55"/>
      <c r="J259" s="132"/>
      <c r="K259" s="132"/>
    </row>
    <row r="260" spans="2:11" ht="81">
      <c r="B260" s="129" t="s">
        <v>372</v>
      </c>
      <c r="C260" s="130" t="s">
        <v>373</v>
      </c>
      <c r="D260" s="50" t="s">
        <v>33</v>
      </c>
      <c r="E260" s="131">
        <f>'[1]7. INSTALACIONES ELECTRICAS'!J104</f>
        <v>32</v>
      </c>
      <c r="F260" s="52">
        <f>'[1]CAP 7'!H622</f>
        <v>285738</v>
      </c>
      <c r="G260" s="53">
        <f t="shared" si="7"/>
        <v>9143616</v>
      </c>
      <c r="H260" s="68"/>
      <c r="I260" s="55"/>
      <c r="J260" s="132"/>
      <c r="K260" s="132"/>
    </row>
    <row r="261" spans="2:11" ht="54">
      <c r="B261" s="129" t="s">
        <v>374</v>
      </c>
      <c r="C261" s="130" t="s">
        <v>375</v>
      </c>
      <c r="D261" s="50" t="s">
        <v>33</v>
      </c>
      <c r="E261" s="131">
        <f>'[1]7. INSTALACIONES ELECTRICAS'!J113</f>
        <v>1</v>
      </c>
      <c r="F261" s="52">
        <f>'[1]CAP 7'!H656</f>
        <v>128561</v>
      </c>
      <c r="G261" s="53">
        <f t="shared" si="7"/>
        <v>128561</v>
      </c>
      <c r="H261" s="68"/>
      <c r="I261" s="55"/>
      <c r="J261" s="132"/>
      <c r="K261" s="132"/>
    </row>
    <row r="262" spans="2:11" ht="51">
      <c r="B262" s="134">
        <v>7.2</v>
      </c>
      <c r="C262" s="127" t="s">
        <v>376</v>
      </c>
      <c r="D262" s="87"/>
      <c r="E262" s="128"/>
      <c r="F262" s="89"/>
      <c r="G262" s="89"/>
      <c r="H262" s="47"/>
      <c r="I262" s="55"/>
      <c r="J262" s="132"/>
      <c r="K262" s="132"/>
    </row>
    <row r="263" spans="2:11" ht="54">
      <c r="B263" s="129" t="s">
        <v>377</v>
      </c>
      <c r="C263" s="130" t="s">
        <v>378</v>
      </c>
      <c r="D263" s="50" t="s">
        <v>54</v>
      </c>
      <c r="E263" s="131">
        <f>'[1]7. INSTALACIONES ELECTRICAS'!J124</f>
        <v>80</v>
      </c>
      <c r="F263" s="52">
        <f>'[1]CAP 7'!H693</f>
        <v>36846</v>
      </c>
      <c r="G263" s="53">
        <f t="shared" si="7"/>
        <v>2947680</v>
      </c>
      <c r="H263" s="68"/>
      <c r="I263" s="55"/>
      <c r="J263" s="132"/>
      <c r="K263" s="132"/>
    </row>
    <row r="264" spans="2:11" ht="54">
      <c r="B264" s="129" t="s">
        <v>379</v>
      </c>
      <c r="C264" s="130" t="s">
        <v>380</v>
      </c>
      <c r="D264" s="50" t="s">
        <v>54</v>
      </c>
      <c r="E264" s="131">
        <f>'[1]7. INSTALACIONES ELECTRICAS'!J133</f>
        <v>55</v>
      </c>
      <c r="F264" s="52">
        <f>'[1]CAP 7'!H730</f>
        <v>36846</v>
      </c>
      <c r="G264" s="53">
        <f t="shared" si="7"/>
        <v>2026530</v>
      </c>
      <c r="H264" s="68"/>
      <c r="I264" s="55"/>
      <c r="J264" s="132"/>
      <c r="K264" s="132"/>
    </row>
    <row r="265" spans="2:11" ht="54">
      <c r="B265" s="129" t="s">
        <v>381</v>
      </c>
      <c r="C265" s="130" t="s">
        <v>382</v>
      </c>
      <c r="D265" s="50" t="s">
        <v>54</v>
      </c>
      <c r="E265" s="131">
        <f>'[1]7. INSTALACIONES ELECTRICAS'!J142</f>
        <v>65</v>
      </c>
      <c r="F265" s="52">
        <f>'[1]CAP 7'!H767</f>
        <v>36846</v>
      </c>
      <c r="G265" s="53">
        <f t="shared" si="7"/>
        <v>2394990</v>
      </c>
      <c r="H265" s="68"/>
      <c r="I265" s="55"/>
      <c r="J265" s="132"/>
      <c r="K265" s="132"/>
    </row>
    <row r="266" spans="2:11" ht="54">
      <c r="B266" s="129" t="s">
        <v>383</v>
      </c>
      <c r="C266" s="130" t="s">
        <v>384</v>
      </c>
      <c r="D266" s="50" t="s">
        <v>54</v>
      </c>
      <c r="E266" s="131">
        <f>'[1]7. INSTALACIONES ELECTRICAS'!J151</f>
        <v>65</v>
      </c>
      <c r="F266" s="52">
        <f>'[1]CAP 7'!H804</f>
        <v>36846</v>
      </c>
      <c r="G266" s="53">
        <f t="shared" si="7"/>
        <v>2394990</v>
      </c>
      <c r="H266" s="68"/>
      <c r="I266" s="55"/>
      <c r="J266" s="132"/>
      <c r="K266" s="132"/>
    </row>
    <row r="267" spans="2:11" ht="54">
      <c r="B267" s="129" t="s">
        <v>385</v>
      </c>
      <c r="C267" s="130" t="s">
        <v>386</v>
      </c>
      <c r="D267" s="50" t="s">
        <v>54</v>
      </c>
      <c r="E267" s="131">
        <f>'[1]7. INSTALACIONES ELECTRICAS'!J160</f>
        <v>78</v>
      </c>
      <c r="F267" s="52">
        <f>'[1]CAP 7'!H841</f>
        <v>36846</v>
      </c>
      <c r="G267" s="53">
        <f t="shared" si="7"/>
        <v>2873988</v>
      </c>
      <c r="H267" s="68"/>
      <c r="I267" s="55"/>
      <c r="J267" s="132"/>
      <c r="K267" s="132"/>
    </row>
    <row r="268" spans="2:11" ht="54">
      <c r="B268" s="129" t="s">
        <v>387</v>
      </c>
      <c r="C268" s="130" t="s">
        <v>388</v>
      </c>
      <c r="D268" s="50" t="s">
        <v>54</v>
      </c>
      <c r="E268" s="131">
        <f>'[1]7. INSTALACIONES ELECTRICAS'!J169</f>
        <v>70</v>
      </c>
      <c r="F268" s="52">
        <f>'[1]CAP 7'!H878</f>
        <v>36846</v>
      </c>
      <c r="G268" s="53">
        <f t="shared" si="7"/>
        <v>2579220</v>
      </c>
      <c r="H268" s="68"/>
      <c r="I268" s="55"/>
      <c r="J268" s="132"/>
      <c r="K268" s="132"/>
    </row>
    <row r="269" spans="2:11" ht="54">
      <c r="B269" s="129" t="s">
        <v>389</v>
      </c>
      <c r="C269" s="130" t="s">
        <v>390</v>
      </c>
      <c r="D269" s="50" t="s">
        <v>54</v>
      </c>
      <c r="E269" s="131">
        <f>'[1]7. INSTALACIONES ELECTRICAS'!J178</f>
        <v>11</v>
      </c>
      <c r="F269" s="52">
        <f>'[1]CAP 7'!H878</f>
        <v>36846</v>
      </c>
      <c r="G269" s="53">
        <f t="shared" si="7"/>
        <v>405306</v>
      </c>
      <c r="H269" s="68"/>
      <c r="I269" s="55"/>
      <c r="J269" s="132"/>
      <c r="K269" s="132"/>
    </row>
    <row r="270" spans="2:11" ht="54">
      <c r="B270" s="129" t="s">
        <v>391</v>
      </c>
      <c r="C270" s="130" t="s">
        <v>392</v>
      </c>
      <c r="D270" s="50" t="s">
        <v>54</v>
      </c>
      <c r="E270" s="131">
        <f>'[1]7. INSTALACIONES ELECTRICAS'!J187</f>
        <v>65</v>
      </c>
      <c r="F270" s="52">
        <f>'[1]CAP 7'!H952</f>
        <v>36846</v>
      </c>
      <c r="G270" s="53">
        <f t="shared" si="7"/>
        <v>2394990</v>
      </c>
      <c r="H270" s="68"/>
      <c r="I270" s="55"/>
      <c r="J270" s="132"/>
      <c r="K270" s="132"/>
    </row>
    <row r="271" spans="2:11" ht="54">
      <c r="B271" s="129" t="s">
        <v>393</v>
      </c>
      <c r="C271" s="130" t="s">
        <v>394</v>
      </c>
      <c r="D271" s="50" t="s">
        <v>54</v>
      </c>
      <c r="E271" s="131">
        <f>'[1]7. INSTALACIONES ELECTRICAS'!J196</f>
        <v>45</v>
      </c>
      <c r="F271" s="52">
        <f>'[1]CAP 7'!H989</f>
        <v>36846</v>
      </c>
      <c r="G271" s="53">
        <f t="shared" si="7"/>
        <v>1658070</v>
      </c>
      <c r="H271" s="68"/>
      <c r="I271" s="55"/>
      <c r="J271" s="132"/>
      <c r="K271" s="132"/>
    </row>
    <row r="272" spans="2:11" ht="54">
      <c r="B272" s="129" t="s">
        <v>395</v>
      </c>
      <c r="C272" s="130" t="s">
        <v>396</v>
      </c>
      <c r="D272" s="50" t="s">
        <v>54</v>
      </c>
      <c r="E272" s="131">
        <f>'[1]7. INSTALACIONES ELECTRICAS'!J205</f>
        <v>5</v>
      </c>
      <c r="F272" s="52">
        <f>'[1]CAP 7'!H1026</f>
        <v>36846</v>
      </c>
      <c r="G272" s="53">
        <f t="shared" si="7"/>
        <v>184230</v>
      </c>
      <c r="H272" s="68"/>
      <c r="I272" s="55"/>
      <c r="J272" s="132"/>
      <c r="K272" s="132"/>
    </row>
    <row r="273" spans="2:11" ht="54">
      <c r="B273" s="129" t="s">
        <v>397</v>
      </c>
      <c r="C273" s="130" t="s">
        <v>398</v>
      </c>
      <c r="D273" s="50" t="s">
        <v>54</v>
      </c>
      <c r="E273" s="131">
        <f>'[1]7. INSTALACIONES ELECTRICAS'!J214</f>
        <v>45</v>
      </c>
      <c r="F273" s="52">
        <f>'[1]CAP 7'!H1063</f>
        <v>36846</v>
      </c>
      <c r="G273" s="53">
        <f t="shared" si="7"/>
        <v>1658070</v>
      </c>
      <c r="H273" s="68"/>
      <c r="I273" s="55"/>
      <c r="J273" s="132"/>
      <c r="K273" s="132"/>
    </row>
    <row r="274" spans="2:11" ht="54">
      <c r="B274" s="129" t="s">
        <v>399</v>
      </c>
      <c r="C274" s="130" t="s">
        <v>400</v>
      </c>
      <c r="D274" s="50" t="s">
        <v>54</v>
      </c>
      <c r="E274" s="131">
        <f>'[1]7. INSTALACIONES ELECTRICAS'!J223</f>
        <v>46</v>
      </c>
      <c r="F274" s="52">
        <f>'[1]CAP 7'!H1100</f>
        <v>36846</v>
      </c>
      <c r="G274" s="53">
        <f t="shared" si="7"/>
        <v>1694916</v>
      </c>
      <c r="H274" s="68"/>
      <c r="I274" s="55"/>
      <c r="J274" s="132"/>
      <c r="K274" s="132"/>
    </row>
    <row r="275" spans="2:11" ht="54">
      <c r="B275" s="129" t="s">
        <v>401</v>
      </c>
      <c r="C275" s="130" t="s">
        <v>402</v>
      </c>
      <c r="D275" s="50" t="s">
        <v>54</v>
      </c>
      <c r="E275" s="131">
        <f>'[1]7. INSTALACIONES ELECTRICAS'!J232</f>
        <v>71</v>
      </c>
      <c r="F275" s="52">
        <f>'[1]CAP 7'!H1137</f>
        <v>36846</v>
      </c>
      <c r="G275" s="53">
        <f t="shared" si="7"/>
        <v>2616066</v>
      </c>
      <c r="H275" s="68"/>
      <c r="I275" s="55"/>
      <c r="J275" s="132"/>
      <c r="K275" s="132"/>
    </row>
    <row r="276" spans="2:11" ht="54">
      <c r="B276" s="129" t="s">
        <v>403</v>
      </c>
      <c r="C276" s="130" t="s">
        <v>404</v>
      </c>
      <c r="D276" s="50" t="s">
        <v>54</v>
      </c>
      <c r="E276" s="131">
        <f>'[1]7. INSTALACIONES ELECTRICAS'!J241</f>
        <v>51</v>
      </c>
      <c r="F276" s="52">
        <f>'[1]CAP 7'!H1187</f>
        <v>36846</v>
      </c>
      <c r="G276" s="53">
        <f t="shared" si="7"/>
        <v>1879146</v>
      </c>
      <c r="H276" s="68"/>
      <c r="I276" s="55"/>
      <c r="J276" s="132"/>
      <c r="K276" s="132"/>
    </row>
    <row r="277" spans="2:11" ht="54">
      <c r="B277" s="129" t="s">
        <v>405</v>
      </c>
      <c r="C277" s="130" t="s">
        <v>406</v>
      </c>
      <c r="D277" s="50" t="s">
        <v>54</v>
      </c>
      <c r="E277" s="131">
        <f>'[1]7. INSTALACIONES ELECTRICAS'!J250</f>
        <v>58</v>
      </c>
      <c r="F277" s="52">
        <f>'[1]CAP 7'!H1237</f>
        <v>36846</v>
      </c>
      <c r="G277" s="53">
        <f t="shared" si="7"/>
        <v>2137068</v>
      </c>
      <c r="H277" s="68"/>
      <c r="I277" s="55"/>
      <c r="J277" s="132"/>
      <c r="K277" s="132"/>
    </row>
    <row r="278" spans="2:11" ht="54">
      <c r="B278" s="129" t="s">
        <v>407</v>
      </c>
      <c r="C278" s="130" t="s">
        <v>408</v>
      </c>
      <c r="D278" s="50" t="s">
        <v>54</v>
      </c>
      <c r="E278" s="131">
        <f>'[1]7. INSTALACIONES ELECTRICAS'!J259</f>
        <v>56</v>
      </c>
      <c r="F278" s="52">
        <f>'[1]CAP 7'!H1287</f>
        <v>36846</v>
      </c>
      <c r="G278" s="53">
        <f t="shared" si="7"/>
        <v>2063376</v>
      </c>
      <c r="H278" s="68"/>
      <c r="I278" s="55"/>
      <c r="J278" s="132"/>
      <c r="K278" s="132"/>
    </row>
    <row r="279" spans="2:11" ht="54">
      <c r="B279" s="129" t="s">
        <v>409</v>
      </c>
      <c r="C279" s="130" t="s">
        <v>410</v>
      </c>
      <c r="D279" s="50" t="s">
        <v>54</v>
      </c>
      <c r="E279" s="131">
        <f>'[1]7. INSTALACIONES ELECTRICAS'!J268</f>
        <v>63</v>
      </c>
      <c r="F279" s="52">
        <f>'[1]CAP 7'!H1337</f>
        <v>36846</v>
      </c>
      <c r="G279" s="53">
        <f t="shared" si="7"/>
        <v>2321298</v>
      </c>
      <c r="H279" s="68"/>
      <c r="I279" s="55"/>
      <c r="J279" s="132"/>
      <c r="K279" s="132"/>
    </row>
    <row r="280" spans="2:11" ht="54">
      <c r="B280" s="129" t="s">
        <v>411</v>
      </c>
      <c r="C280" s="130" t="s">
        <v>412</v>
      </c>
      <c r="D280" s="50" t="s">
        <v>54</v>
      </c>
      <c r="E280" s="131">
        <f>'[1]7. INSTALACIONES ELECTRICAS'!J277</f>
        <v>36</v>
      </c>
      <c r="F280" s="52">
        <f>'[1]CAP 7'!H1387</f>
        <v>36846</v>
      </c>
      <c r="G280" s="53">
        <f t="shared" si="7"/>
        <v>1326456</v>
      </c>
      <c r="H280" s="68"/>
      <c r="I280" s="55"/>
      <c r="J280" s="132"/>
      <c r="K280" s="132"/>
    </row>
    <row r="281" spans="2:11" ht="54">
      <c r="B281" s="129" t="s">
        <v>413</v>
      </c>
      <c r="C281" s="130" t="s">
        <v>414</v>
      </c>
      <c r="D281" s="50" t="s">
        <v>54</v>
      </c>
      <c r="E281" s="131">
        <f>'[1]7. INSTALACIONES ELECTRICAS'!J286</f>
        <v>5</v>
      </c>
      <c r="F281" s="52">
        <f>'[1]CAP 7'!H1437</f>
        <v>36846</v>
      </c>
      <c r="G281" s="53">
        <f t="shared" si="7"/>
        <v>184230</v>
      </c>
      <c r="H281" s="68"/>
      <c r="I281" s="55"/>
      <c r="J281" s="132"/>
      <c r="K281" s="132"/>
    </row>
    <row r="282" spans="2:11" ht="54">
      <c r="B282" s="129" t="s">
        <v>415</v>
      </c>
      <c r="C282" s="130" t="s">
        <v>416</v>
      </c>
      <c r="D282" s="50" t="s">
        <v>54</v>
      </c>
      <c r="E282" s="131">
        <f>'[1]7. INSTALACIONES ELECTRICAS'!J295</f>
        <v>17</v>
      </c>
      <c r="F282" s="52">
        <f>'[1]CAP 7'!H1487</f>
        <v>36846</v>
      </c>
      <c r="G282" s="53">
        <f t="shared" si="7"/>
        <v>626382</v>
      </c>
      <c r="H282" s="68"/>
      <c r="I282" s="55"/>
      <c r="J282" s="132"/>
      <c r="K282" s="132"/>
    </row>
    <row r="283" spans="2:11" ht="54">
      <c r="B283" s="129" t="s">
        <v>417</v>
      </c>
      <c r="C283" s="130" t="s">
        <v>418</v>
      </c>
      <c r="D283" s="50" t="s">
        <v>54</v>
      </c>
      <c r="E283" s="131">
        <f>'[1]7. INSTALACIONES ELECTRICAS'!J304</f>
        <v>20</v>
      </c>
      <c r="F283" s="52">
        <f>'[1]CAP 7'!H1537</f>
        <v>36846</v>
      </c>
      <c r="G283" s="53">
        <f t="shared" si="7"/>
        <v>736920</v>
      </c>
      <c r="H283" s="68"/>
      <c r="I283" s="55"/>
      <c r="J283" s="132"/>
      <c r="K283" s="132"/>
    </row>
    <row r="284" spans="2:11" ht="54">
      <c r="B284" s="129" t="s">
        <v>419</v>
      </c>
      <c r="C284" s="130" t="s">
        <v>420</v>
      </c>
      <c r="D284" s="50" t="s">
        <v>54</v>
      </c>
      <c r="E284" s="131">
        <f>'[1]7. INSTALACIONES ELECTRICAS'!J313</f>
        <v>31</v>
      </c>
      <c r="F284" s="52">
        <f>'[1]CAP 7'!H1587</f>
        <v>36846</v>
      </c>
      <c r="G284" s="53">
        <f t="shared" si="7"/>
        <v>1142226</v>
      </c>
      <c r="H284" s="68"/>
      <c r="I284" s="55"/>
      <c r="J284" s="132"/>
      <c r="K284" s="132"/>
    </row>
    <row r="285" spans="2:11" ht="54">
      <c r="B285" s="129" t="s">
        <v>421</v>
      </c>
      <c r="C285" s="130" t="s">
        <v>422</v>
      </c>
      <c r="D285" s="50" t="s">
        <v>54</v>
      </c>
      <c r="E285" s="131">
        <f>'[1]7. INSTALACIONES ELECTRICAS'!J322</f>
        <v>25</v>
      </c>
      <c r="F285" s="52">
        <f>'[1]CAP 7'!H1637</f>
        <v>36846</v>
      </c>
      <c r="G285" s="53">
        <f t="shared" si="7"/>
        <v>921150</v>
      </c>
      <c r="H285" s="68"/>
      <c r="I285" s="55"/>
      <c r="J285" s="132"/>
      <c r="K285" s="132"/>
    </row>
    <row r="286" spans="2:11" ht="54">
      <c r="B286" s="129" t="s">
        <v>423</v>
      </c>
      <c r="C286" s="130" t="s">
        <v>424</v>
      </c>
      <c r="D286" s="50" t="s">
        <v>54</v>
      </c>
      <c r="E286" s="131">
        <f>'[1]7. INSTALACIONES ELECTRICAS'!J331</f>
        <v>36</v>
      </c>
      <c r="F286" s="52">
        <f>'[1]CAP 7'!H1687</f>
        <v>36846</v>
      </c>
      <c r="G286" s="53">
        <f t="shared" si="7"/>
        <v>1326456</v>
      </c>
      <c r="H286" s="68"/>
      <c r="I286" s="55"/>
      <c r="J286" s="132"/>
      <c r="K286" s="132"/>
    </row>
    <row r="287" spans="2:11" ht="54">
      <c r="B287" s="129" t="s">
        <v>425</v>
      </c>
      <c r="C287" s="130" t="s">
        <v>426</v>
      </c>
      <c r="D287" s="50" t="s">
        <v>54</v>
      </c>
      <c r="E287" s="131">
        <f>'[1]7. INSTALACIONES ELECTRICAS'!J340</f>
        <v>35</v>
      </c>
      <c r="F287" s="52">
        <f>'[1]CAP 7'!H1730</f>
        <v>36846</v>
      </c>
      <c r="G287" s="53">
        <f t="shared" si="7"/>
        <v>1289610</v>
      </c>
      <c r="H287" s="68"/>
      <c r="I287" s="55"/>
      <c r="J287" s="132"/>
      <c r="K287" s="132"/>
    </row>
    <row r="288" spans="2:11" ht="54">
      <c r="B288" s="129" t="s">
        <v>427</v>
      </c>
      <c r="C288" s="130" t="s">
        <v>428</v>
      </c>
      <c r="D288" s="50" t="s">
        <v>54</v>
      </c>
      <c r="E288" s="131">
        <f>'[1]7. INSTALACIONES ELECTRICAS'!J349</f>
        <v>44</v>
      </c>
      <c r="F288" s="52">
        <f>'[1]CAP 7'!H1771</f>
        <v>36846</v>
      </c>
      <c r="G288" s="53">
        <f t="shared" si="7"/>
        <v>1621224</v>
      </c>
      <c r="H288" s="68"/>
      <c r="I288" s="55"/>
      <c r="J288" s="132"/>
      <c r="K288" s="132"/>
    </row>
    <row r="289" spans="2:11" ht="54">
      <c r="B289" s="129" t="s">
        <v>429</v>
      </c>
      <c r="C289" s="130" t="s">
        <v>430</v>
      </c>
      <c r="D289" s="50" t="s">
        <v>54</v>
      </c>
      <c r="E289" s="131">
        <f>'[1]7. INSTALACIONES ELECTRICAS'!J358</f>
        <v>25</v>
      </c>
      <c r="F289" s="52">
        <f>'[1]CAP 7'!H1806</f>
        <v>36846</v>
      </c>
      <c r="G289" s="53">
        <f t="shared" si="7"/>
        <v>921150</v>
      </c>
      <c r="H289" s="68"/>
      <c r="I289" s="55"/>
      <c r="J289" s="132"/>
      <c r="K289" s="132"/>
    </row>
    <row r="290" spans="2:11" ht="54">
      <c r="B290" s="129" t="s">
        <v>431</v>
      </c>
      <c r="C290" s="130" t="s">
        <v>432</v>
      </c>
      <c r="D290" s="50" t="s">
        <v>54</v>
      </c>
      <c r="E290" s="131">
        <f>'[1]7. INSTALACIONES ELECTRICAS'!J367</f>
        <v>30</v>
      </c>
      <c r="F290" s="52">
        <f>'[1]CAP 7'!H1846</f>
        <v>36846</v>
      </c>
      <c r="G290" s="53">
        <f t="shared" si="7"/>
        <v>1105380</v>
      </c>
      <c r="H290" s="68"/>
      <c r="I290" s="55"/>
      <c r="J290" s="132"/>
      <c r="K290" s="132"/>
    </row>
    <row r="291" spans="2:11" ht="54">
      <c r="B291" s="129" t="s">
        <v>433</v>
      </c>
      <c r="C291" s="130" t="s">
        <v>434</v>
      </c>
      <c r="D291" s="50" t="s">
        <v>54</v>
      </c>
      <c r="E291" s="131">
        <f>'[1]7. INSTALACIONES ELECTRICAS'!J376</f>
        <v>35</v>
      </c>
      <c r="F291" s="52">
        <f>'[1]CAP 7'!H1881</f>
        <v>36846</v>
      </c>
      <c r="G291" s="53">
        <f t="shared" si="7"/>
        <v>1289610</v>
      </c>
      <c r="H291" s="68"/>
      <c r="I291" s="55"/>
      <c r="J291" s="132"/>
      <c r="K291" s="132"/>
    </row>
    <row r="292" spans="2:11" ht="54">
      <c r="B292" s="129" t="s">
        <v>435</v>
      </c>
      <c r="C292" s="130" t="s">
        <v>436</v>
      </c>
      <c r="D292" s="50" t="s">
        <v>54</v>
      </c>
      <c r="E292" s="131">
        <f>'[1]7. INSTALACIONES ELECTRICAS'!J385</f>
        <v>10</v>
      </c>
      <c r="F292" s="52">
        <f>'[1]CAP 7'!H1931</f>
        <v>36846</v>
      </c>
      <c r="G292" s="53">
        <f t="shared" si="7"/>
        <v>368460</v>
      </c>
      <c r="H292" s="68"/>
      <c r="I292" s="55"/>
      <c r="J292" s="132"/>
      <c r="K292" s="132"/>
    </row>
    <row r="293" spans="2:11" ht="54">
      <c r="B293" s="129" t="s">
        <v>437</v>
      </c>
      <c r="C293" s="130" t="s">
        <v>438</v>
      </c>
      <c r="D293" s="50" t="s">
        <v>54</v>
      </c>
      <c r="E293" s="131">
        <f>'[1]7. INSTALACIONES ELECTRICAS'!J394</f>
        <v>39</v>
      </c>
      <c r="F293" s="52">
        <f>'[1]CAP 7'!H1967</f>
        <v>36846</v>
      </c>
      <c r="G293" s="53">
        <f t="shared" si="7"/>
        <v>1436994</v>
      </c>
      <c r="H293" s="68"/>
      <c r="I293" s="55"/>
      <c r="J293" s="132"/>
      <c r="K293" s="132"/>
    </row>
    <row r="294" spans="2:11" ht="54">
      <c r="B294" s="129" t="s">
        <v>439</v>
      </c>
      <c r="C294" s="130" t="s">
        <v>438</v>
      </c>
      <c r="D294" s="50" t="s">
        <v>54</v>
      </c>
      <c r="E294" s="131">
        <f>'[1]7. INSTALACIONES ELECTRICAS'!J403</f>
        <v>20</v>
      </c>
      <c r="F294" s="52">
        <f>'[1]CAP 7'!H2017</f>
        <v>36846</v>
      </c>
      <c r="G294" s="53">
        <f t="shared" si="7"/>
        <v>736920</v>
      </c>
      <c r="H294" s="68"/>
      <c r="I294" s="55"/>
      <c r="J294" s="132"/>
      <c r="K294" s="132"/>
    </row>
    <row r="295" spans="2:11" ht="54">
      <c r="B295" s="129" t="s">
        <v>440</v>
      </c>
      <c r="C295" s="130" t="s">
        <v>441</v>
      </c>
      <c r="D295" s="50" t="s">
        <v>54</v>
      </c>
      <c r="E295" s="131">
        <f>'[1]7. INSTALACIONES ELECTRICAS'!J412</f>
        <v>25</v>
      </c>
      <c r="F295" s="52">
        <f>'[1]CAP 7'!H2055</f>
        <v>36846</v>
      </c>
      <c r="G295" s="53">
        <f t="shared" si="7"/>
        <v>921150</v>
      </c>
      <c r="H295" s="68"/>
      <c r="I295" s="55"/>
      <c r="J295" s="132"/>
      <c r="K295" s="132"/>
    </row>
    <row r="296" spans="2:11" ht="54">
      <c r="B296" s="129" t="s">
        <v>442</v>
      </c>
      <c r="C296" s="130" t="s">
        <v>443</v>
      </c>
      <c r="D296" s="50" t="s">
        <v>54</v>
      </c>
      <c r="E296" s="131">
        <f>'[1]7. INSTALACIONES ELECTRICAS'!J421</f>
        <v>25</v>
      </c>
      <c r="F296" s="52">
        <f>'[1]CAP 7'!H2105</f>
        <v>36846</v>
      </c>
      <c r="G296" s="53">
        <f t="shared" si="7"/>
        <v>921150</v>
      </c>
      <c r="H296" s="68"/>
      <c r="I296" s="55"/>
      <c r="J296" s="132"/>
      <c r="K296" s="132"/>
    </row>
    <row r="297" spans="2:11" ht="54">
      <c r="B297" s="129" t="s">
        <v>444</v>
      </c>
      <c r="C297" s="130" t="s">
        <v>445</v>
      </c>
      <c r="D297" s="50" t="s">
        <v>54</v>
      </c>
      <c r="E297" s="131">
        <f>'[1]7. INSTALACIONES ELECTRICAS'!J430</f>
        <v>10</v>
      </c>
      <c r="F297" s="52">
        <f>'[1]CAP 7'!H2141</f>
        <v>36846</v>
      </c>
      <c r="G297" s="53">
        <f t="shared" si="7"/>
        <v>368460</v>
      </c>
      <c r="H297" s="68"/>
      <c r="I297" s="55"/>
      <c r="J297" s="132"/>
      <c r="K297" s="132"/>
    </row>
    <row r="298" spans="2:11" ht="54">
      <c r="B298" s="129" t="s">
        <v>446</v>
      </c>
      <c r="C298" s="130" t="s">
        <v>447</v>
      </c>
      <c r="D298" s="50" t="s">
        <v>54</v>
      </c>
      <c r="E298" s="131">
        <f>'[1]7. INSTALACIONES ELECTRICAS'!J439</f>
        <v>55</v>
      </c>
      <c r="F298" s="52">
        <f>'[1]CAP 7'!H2191</f>
        <v>36846</v>
      </c>
      <c r="G298" s="53">
        <f t="shared" si="7"/>
        <v>2026530</v>
      </c>
      <c r="H298" s="68"/>
      <c r="I298" s="55"/>
      <c r="J298" s="132"/>
      <c r="K298" s="132"/>
    </row>
    <row r="299" spans="2:11" ht="54">
      <c r="B299" s="129" t="s">
        <v>448</v>
      </c>
      <c r="C299" s="130" t="s">
        <v>449</v>
      </c>
      <c r="D299" s="50" t="s">
        <v>54</v>
      </c>
      <c r="E299" s="131">
        <f>'[1]7. INSTALACIONES ELECTRICAS'!J448</f>
        <v>116</v>
      </c>
      <c r="F299" s="52">
        <f>'[1]CAP 7'!H2227</f>
        <v>25718</v>
      </c>
      <c r="G299" s="53">
        <f t="shared" si="7"/>
        <v>2983288</v>
      </c>
      <c r="H299" s="68"/>
      <c r="I299" s="55"/>
      <c r="J299" s="132"/>
      <c r="K299" s="132"/>
    </row>
    <row r="300" spans="2:11" ht="54">
      <c r="B300" s="129" t="s">
        <v>450</v>
      </c>
      <c r="C300" s="130" t="s">
        <v>451</v>
      </c>
      <c r="D300" s="50" t="s">
        <v>54</v>
      </c>
      <c r="E300" s="131">
        <f>'[1]7. INSTALACIONES ELECTRICAS'!J457</f>
        <v>78</v>
      </c>
      <c r="F300" s="52">
        <f>'[1]CAP 7'!H2277</f>
        <v>36846</v>
      </c>
      <c r="G300" s="53">
        <f t="shared" si="7"/>
        <v>2873988</v>
      </c>
      <c r="H300" s="68"/>
      <c r="I300" s="55"/>
      <c r="J300" s="132"/>
      <c r="K300" s="132"/>
    </row>
    <row r="301" spans="2:11" ht="54">
      <c r="B301" s="129" t="s">
        <v>452</v>
      </c>
      <c r="C301" s="130" t="s">
        <v>453</v>
      </c>
      <c r="D301" s="50" t="s">
        <v>54</v>
      </c>
      <c r="E301" s="131">
        <f>'[1]7. INSTALACIONES ELECTRICAS'!J466</f>
        <v>55</v>
      </c>
      <c r="F301" s="52">
        <f>'[1]CAP 7'!H2313</f>
        <v>50790</v>
      </c>
      <c r="G301" s="53">
        <f t="shared" si="7"/>
        <v>2793450</v>
      </c>
      <c r="H301" s="68"/>
      <c r="I301" s="55"/>
      <c r="J301" s="132"/>
      <c r="K301" s="132"/>
    </row>
    <row r="302" spans="2:11" ht="54">
      <c r="B302" s="129" t="s">
        <v>454</v>
      </c>
      <c r="C302" s="130" t="s">
        <v>455</v>
      </c>
      <c r="D302" s="50" t="s">
        <v>54</v>
      </c>
      <c r="E302" s="131">
        <f>'[1]7. INSTALACIONES ELECTRICAS'!J475</f>
        <v>20</v>
      </c>
      <c r="F302" s="52">
        <f>'[1]CAP 7'!H2363</f>
        <v>50790</v>
      </c>
      <c r="G302" s="53">
        <f t="shared" si="7"/>
        <v>1015800</v>
      </c>
      <c r="H302" s="68"/>
      <c r="I302" s="55"/>
      <c r="J302" s="132"/>
      <c r="K302" s="132"/>
    </row>
    <row r="303" spans="2:11" ht="54">
      <c r="B303" s="129" t="s">
        <v>456</v>
      </c>
      <c r="C303" s="130" t="s">
        <v>457</v>
      </c>
      <c r="D303" s="50" t="s">
        <v>54</v>
      </c>
      <c r="E303" s="131">
        <f>'[1]7. INSTALACIONES ELECTRICAS'!J484</f>
        <v>80</v>
      </c>
      <c r="F303" s="52">
        <f>'[1]CAP 7'!H2399</f>
        <v>50790</v>
      </c>
      <c r="G303" s="53">
        <f t="shared" si="7"/>
        <v>4063200</v>
      </c>
      <c r="H303" s="68"/>
      <c r="I303" s="55"/>
      <c r="J303" s="132"/>
      <c r="K303" s="132"/>
    </row>
    <row r="304" spans="2:11" ht="54">
      <c r="B304" s="129" t="s">
        <v>458</v>
      </c>
      <c r="C304" s="130" t="s">
        <v>459</v>
      </c>
      <c r="D304" s="50" t="s">
        <v>54</v>
      </c>
      <c r="E304" s="131">
        <f>'[1]7. INSTALACIONES ELECTRICAS'!J493</f>
        <v>100</v>
      </c>
      <c r="F304" s="52">
        <f>'[1]CAP 7'!H2449</f>
        <v>50790</v>
      </c>
      <c r="G304" s="53">
        <f t="shared" si="7"/>
        <v>5079000</v>
      </c>
      <c r="H304" s="68"/>
      <c r="I304" s="55"/>
      <c r="J304" s="132"/>
      <c r="K304" s="132"/>
    </row>
    <row r="305" spans="2:11" ht="54">
      <c r="B305" s="129" t="s">
        <v>460</v>
      </c>
      <c r="C305" s="130" t="s">
        <v>461</v>
      </c>
      <c r="D305" s="50" t="s">
        <v>54</v>
      </c>
      <c r="E305" s="131">
        <f>'[1]7. INSTALACIONES ELECTRICAS'!J502</f>
        <v>73</v>
      </c>
      <c r="F305" s="52">
        <f>'[1]CAP 7'!H2535</f>
        <v>63101</v>
      </c>
      <c r="G305" s="53">
        <f t="shared" si="7"/>
        <v>4606373</v>
      </c>
      <c r="H305" s="68"/>
      <c r="I305" s="55"/>
      <c r="J305" s="132"/>
      <c r="K305" s="132"/>
    </row>
    <row r="306" spans="2:11" ht="54">
      <c r="B306" s="129" t="s">
        <v>462</v>
      </c>
      <c r="C306" s="130" t="s">
        <v>463</v>
      </c>
      <c r="D306" s="50" t="s">
        <v>54</v>
      </c>
      <c r="E306" s="131">
        <f>'[1]7. INSTALACIONES ELECTRICAS'!J511</f>
        <v>224</v>
      </c>
      <c r="F306" s="52">
        <f>'[1]CAP 7'!H2571</f>
        <v>63101</v>
      </c>
      <c r="G306" s="53">
        <f t="shared" si="7"/>
        <v>14134624</v>
      </c>
      <c r="H306" s="68"/>
      <c r="I306" s="55"/>
      <c r="J306" s="132"/>
      <c r="K306" s="132"/>
    </row>
    <row r="307" spans="2:11" ht="40.5">
      <c r="B307" s="129" t="s">
        <v>464</v>
      </c>
      <c r="C307" s="130" t="s">
        <v>465</v>
      </c>
      <c r="D307" s="50" t="s">
        <v>54</v>
      </c>
      <c r="E307" s="131">
        <f>'[1]7. INSTALACIONES ELECTRICAS'!J520</f>
        <v>300</v>
      </c>
      <c r="F307" s="52">
        <f>'[1]CAP 7'!H2609</f>
        <v>14215</v>
      </c>
      <c r="G307" s="53">
        <f t="shared" si="7"/>
        <v>4264500</v>
      </c>
      <c r="H307" s="68"/>
      <c r="I307" s="55"/>
      <c r="J307" s="132"/>
      <c r="K307" s="132"/>
    </row>
    <row r="308" spans="2:11" ht="54">
      <c r="B308" s="129" t="s">
        <v>466</v>
      </c>
      <c r="C308" s="130" t="s">
        <v>467</v>
      </c>
      <c r="D308" s="50" t="s">
        <v>54</v>
      </c>
      <c r="E308" s="131">
        <f>'[1]7. INSTALACIONES ELECTRICAS'!J529</f>
        <v>80</v>
      </c>
      <c r="F308" s="52">
        <f>'[1]CAP 7'!H2647</f>
        <v>166293</v>
      </c>
      <c r="G308" s="53">
        <f t="shared" si="7"/>
        <v>13303440</v>
      </c>
      <c r="H308" s="68"/>
      <c r="I308" s="55"/>
      <c r="J308" s="132"/>
      <c r="K308" s="132"/>
    </row>
    <row r="309" spans="2:11" ht="54">
      <c r="B309" s="129" t="s">
        <v>468</v>
      </c>
      <c r="C309" s="130" t="s">
        <v>469</v>
      </c>
      <c r="D309" s="50" t="s">
        <v>54</v>
      </c>
      <c r="E309" s="131">
        <f>'[1]7. INSTALACIONES ELECTRICAS'!J538</f>
        <v>45</v>
      </c>
      <c r="F309" s="52">
        <f>'[1]CAP 7'!H2687</f>
        <v>200781</v>
      </c>
      <c r="G309" s="53">
        <f t="shared" si="7"/>
        <v>9035145</v>
      </c>
      <c r="H309" s="68"/>
      <c r="I309" s="55"/>
      <c r="J309" s="132"/>
      <c r="K309" s="132"/>
    </row>
    <row r="310" spans="2:11" ht="54">
      <c r="B310" s="129" t="s">
        <v>470</v>
      </c>
      <c r="C310" s="130" t="s">
        <v>471</v>
      </c>
      <c r="D310" s="50" t="s">
        <v>54</v>
      </c>
      <c r="E310" s="131">
        <f>'[1]7. INSTALACIONES ELECTRICAS'!J547</f>
        <v>61</v>
      </c>
      <c r="F310" s="52">
        <f>'[1]CAP 7'!H2727</f>
        <v>222873</v>
      </c>
      <c r="G310" s="53">
        <f t="shared" si="7"/>
        <v>13595253</v>
      </c>
      <c r="H310" s="68"/>
      <c r="I310" s="55"/>
      <c r="J310" s="132"/>
      <c r="K310" s="132"/>
    </row>
    <row r="311" spans="2:11" ht="81">
      <c r="B311" s="129" t="s">
        <v>472</v>
      </c>
      <c r="C311" s="130" t="s">
        <v>473</v>
      </c>
      <c r="D311" s="50" t="s">
        <v>54</v>
      </c>
      <c r="E311" s="131">
        <f>'[1]7. INSTALACIONES ELECTRICAS'!J556</f>
        <v>8</v>
      </c>
      <c r="F311" s="52">
        <f>'[1]CAP 7'!H2767</f>
        <v>2504053</v>
      </c>
      <c r="G311" s="53">
        <f t="shared" si="7"/>
        <v>20032424</v>
      </c>
      <c r="H311" s="68"/>
      <c r="I311" s="55"/>
      <c r="J311" s="132"/>
      <c r="K311" s="132"/>
    </row>
    <row r="312" spans="2:11" ht="67.5">
      <c r="B312" s="129" t="s">
        <v>474</v>
      </c>
      <c r="C312" s="130" t="s">
        <v>475</v>
      </c>
      <c r="D312" s="50" t="s">
        <v>54</v>
      </c>
      <c r="E312" s="131">
        <f>'[1]7. INSTALACIONES ELECTRICAS'!J565</f>
        <v>14</v>
      </c>
      <c r="F312" s="52">
        <f>'[1]CAP 7'!H2806</f>
        <v>2504053</v>
      </c>
      <c r="G312" s="53">
        <f t="shared" si="7"/>
        <v>35056742</v>
      </c>
      <c r="H312" s="68"/>
      <c r="I312" s="55"/>
      <c r="J312" s="132"/>
      <c r="K312" s="132"/>
    </row>
    <row r="313" spans="2:11" ht="67.5">
      <c r="B313" s="129" t="s">
        <v>476</v>
      </c>
      <c r="C313" s="130" t="s">
        <v>477</v>
      </c>
      <c r="D313" s="50" t="s">
        <v>54</v>
      </c>
      <c r="E313" s="131">
        <f>'[1]7. INSTALACIONES ELECTRICAS'!J574</f>
        <v>16</v>
      </c>
      <c r="F313" s="52">
        <f>'[1]CAP 7'!H2845</f>
        <v>1127109</v>
      </c>
      <c r="G313" s="53">
        <f t="shared" ref="G313:G375" si="8">+ROUND((E313*F313),0)</f>
        <v>18033744</v>
      </c>
      <c r="H313" s="68"/>
      <c r="I313" s="55"/>
      <c r="J313" s="132"/>
      <c r="K313" s="132"/>
    </row>
    <row r="314" spans="2:11" ht="54">
      <c r="B314" s="129" t="s">
        <v>478</v>
      </c>
      <c r="C314" s="130" t="s">
        <v>479</v>
      </c>
      <c r="D314" s="50" t="s">
        <v>54</v>
      </c>
      <c r="E314" s="131">
        <f>'[1]7. INSTALACIONES ELECTRICAS'!J583</f>
        <v>20</v>
      </c>
      <c r="F314" s="52">
        <f>'[1]CAP 7'!H2883</f>
        <v>36846</v>
      </c>
      <c r="G314" s="53">
        <f t="shared" si="8"/>
        <v>736920</v>
      </c>
      <c r="H314" s="68"/>
      <c r="I314" s="55"/>
      <c r="J314" s="132"/>
      <c r="K314" s="132"/>
    </row>
    <row r="315" spans="2:11" ht="54">
      <c r="B315" s="129" t="s">
        <v>480</v>
      </c>
      <c r="C315" s="130" t="s">
        <v>481</v>
      </c>
      <c r="D315" s="50" t="s">
        <v>54</v>
      </c>
      <c r="E315" s="131">
        <f>'[1]7. INSTALACIONES ELECTRICAS'!J592</f>
        <v>10</v>
      </c>
      <c r="F315" s="52">
        <f>'[1]CAP 7'!H2921</f>
        <v>36846</v>
      </c>
      <c r="G315" s="53">
        <f t="shared" si="8"/>
        <v>368460</v>
      </c>
      <c r="H315" s="68"/>
      <c r="I315" s="55"/>
      <c r="J315" s="132"/>
      <c r="K315" s="132"/>
    </row>
    <row r="316" spans="2:11" ht="54">
      <c r="B316" s="129" t="s">
        <v>482</v>
      </c>
      <c r="C316" s="130" t="s">
        <v>483</v>
      </c>
      <c r="D316" s="50" t="s">
        <v>54</v>
      </c>
      <c r="E316" s="131">
        <f>'[1]7. INSTALACIONES ELECTRICAS'!J601</f>
        <v>10</v>
      </c>
      <c r="F316" s="52">
        <f>'[1]CAP 7'!H2961</f>
        <v>112857</v>
      </c>
      <c r="G316" s="53">
        <f t="shared" si="8"/>
        <v>1128570</v>
      </c>
      <c r="H316" s="68"/>
      <c r="I316" s="55"/>
      <c r="J316" s="132"/>
      <c r="K316" s="132"/>
    </row>
    <row r="317" spans="2:11">
      <c r="B317" s="135"/>
      <c r="C317" s="127" t="s">
        <v>484</v>
      </c>
      <c r="D317" s="87"/>
      <c r="E317" s="128"/>
      <c r="F317" s="89"/>
      <c r="G317" s="90"/>
      <c r="H317" s="47"/>
      <c r="I317" s="55"/>
      <c r="J317" s="132"/>
      <c r="K317" s="132"/>
    </row>
    <row r="318" spans="2:11" ht="27">
      <c r="B318" s="129" t="s">
        <v>485</v>
      </c>
      <c r="C318" s="130" t="s">
        <v>486</v>
      </c>
      <c r="D318" s="50" t="s">
        <v>54</v>
      </c>
      <c r="E318" s="131">
        <f>'[1]7. INSTALACIONES ELECTRICAS'!J611</f>
        <v>180</v>
      </c>
      <c r="F318" s="52">
        <f>'[1]CAP 7'!H3011</f>
        <v>8720</v>
      </c>
      <c r="G318" s="53">
        <f t="shared" si="8"/>
        <v>1569600</v>
      </c>
      <c r="H318" s="68"/>
      <c r="I318" s="55"/>
      <c r="J318" s="132"/>
      <c r="K318" s="132"/>
    </row>
    <row r="319" spans="2:11" ht="27">
      <c r="B319" s="129" t="s">
        <v>487</v>
      </c>
      <c r="C319" s="130" t="s">
        <v>488</v>
      </c>
      <c r="D319" s="50" t="s">
        <v>54</v>
      </c>
      <c r="E319" s="131">
        <f>'[1]7. INSTALACIONES ELECTRICAS'!J620</f>
        <v>200</v>
      </c>
      <c r="F319" s="52">
        <f>'[1]CAP 7'!H3046</f>
        <v>12046</v>
      </c>
      <c r="G319" s="53">
        <f t="shared" si="8"/>
        <v>2409200</v>
      </c>
      <c r="H319" s="68"/>
      <c r="I319" s="55"/>
      <c r="J319" s="132"/>
      <c r="K319" s="132"/>
    </row>
    <row r="320" spans="2:11" ht="27">
      <c r="B320" s="129" t="s">
        <v>489</v>
      </c>
      <c r="C320" s="130" t="s">
        <v>490</v>
      </c>
      <c r="D320" s="50" t="s">
        <v>54</v>
      </c>
      <c r="E320" s="131">
        <f>'[1]7. INSTALACIONES ELECTRICAS'!J629</f>
        <v>500</v>
      </c>
      <c r="F320" s="52">
        <f>'[1]CAP 7'!H3096</f>
        <v>16852</v>
      </c>
      <c r="G320" s="53">
        <f t="shared" si="8"/>
        <v>8426000</v>
      </c>
      <c r="H320" s="68"/>
      <c r="I320" s="55"/>
      <c r="J320" s="132"/>
      <c r="K320" s="132"/>
    </row>
    <row r="321" spans="2:11">
      <c r="B321" s="133"/>
      <c r="C321" s="127" t="s">
        <v>491</v>
      </c>
      <c r="D321" s="87"/>
      <c r="E321" s="128"/>
      <c r="F321" s="89"/>
      <c r="G321" s="90"/>
      <c r="H321" s="47"/>
      <c r="I321" s="55"/>
      <c r="J321" s="132"/>
      <c r="K321" s="132"/>
    </row>
    <row r="322" spans="2:11" ht="40.5">
      <c r="B322" s="129" t="s">
        <v>492</v>
      </c>
      <c r="C322" s="130" t="s">
        <v>493</v>
      </c>
      <c r="D322" s="50" t="s">
        <v>33</v>
      </c>
      <c r="E322" s="131">
        <f>'[1]7. INSTALACIONES ELECTRICAS'!J639</f>
        <v>12</v>
      </c>
      <c r="F322" s="52">
        <f>'[1]CAP 7'!H3131</f>
        <v>451302</v>
      </c>
      <c r="G322" s="53">
        <f t="shared" si="8"/>
        <v>5415624</v>
      </c>
      <c r="H322" s="68"/>
      <c r="I322" s="55"/>
      <c r="J322" s="132"/>
      <c r="K322" s="132"/>
    </row>
    <row r="323" spans="2:11" ht="40.5">
      <c r="B323" s="129" t="s">
        <v>494</v>
      </c>
      <c r="C323" s="130" t="s">
        <v>495</v>
      </c>
      <c r="D323" s="50" t="s">
        <v>33</v>
      </c>
      <c r="E323" s="131">
        <f>'[1]7. INSTALACIONES ELECTRICAS'!J648</f>
        <v>2</v>
      </c>
      <c r="F323" s="52">
        <f>'[1]CAP 7'!H3181</f>
        <v>616402</v>
      </c>
      <c r="G323" s="53">
        <f t="shared" si="8"/>
        <v>1232804</v>
      </c>
      <c r="H323" s="68"/>
      <c r="I323" s="55"/>
      <c r="J323" s="132"/>
      <c r="K323" s="132"/>
    </row>
    <row r="324" spans="2:11" ht="40.5">
      <c r="B324" s="129" t="s">
        <v>496</v>
      </c>
      <c r="C324" s="130" t="s">
        <v>497</v>
      </c>
      <c r="D324" s="50" t="s">
        <v>33</v>
      </c>
      <c r="E324" s="131">
        <f>'[1]7. INSTALACIONES ELECTRICAS'!J657</f>
        <v>2</v>
      </c>
      <c r="F324" s="52">
        <f>'[2]CAP 7'!H3216</f>
        <v>235402</v>
      </c>
      <c r="G324" s="53">
        <f t="shared" si="8"/>
        <v>470804</v>
      </c>
      <c r="H324" s="68"/>
      <c r="I324" s="55"/>
      <c r="J324" s="132"/>
      <c r="K324" s="132"/>
    </row>
    <row r="325" spans="2:11" ht="51">
      <c r="B325" s="134">
        <v>7.3</v>
      </c>
      <c r="C325" s="127" t="s">
        <v>498</v>
      </c>
      <c r="D325" s="87"/>
      <c r="E325" s="128"/>
      <c r="F325" s="89"/>
      <c r="G325" s="90"/>
      <c r="H325" s="47"/>
      <c r="I325" s="55"/>
      <c r="J325" s="132"/>
      <c r="K325" s="132"/>
    </row>
    <row r="326" spans="2:11" ht="67.5">
      <c r="B326" s="129" t="s">
        <v>499</v>
      </c>
      <c r="C326" s="130" t="s">
        <v>500</v>
      </c>
      <c r="D326" s="50" t="s">
        <v>33</v>
      </c>
      <c r="E326" s="131">
        <f>'[1]7. INSTALACIONES ELECTRICAS'!J668</f>
        <v>12</v>
      </c>
      <c r="F326" s="52">
        <f>'[1]CAP 7'!H3266</f>
        <v>260802</v>
      </c>
      <c r="G326" s="53">
        <f t="shared" si="8"/>
        <v>3129624</v>
      </c>
      <c r="H326" s="68"/>
      <c r="I326" s="55"/>
      <c r="J326" s="132"/>
      <c r="K326" s="132"/>
    </row>
    <row r="327" spans="2:11" ht="40.5">
      <c r="B327" s="129" t="s">
        <v>501</v>
      </c>
      <c r="C327" s="130" t="s">
        <v>502</v>
      </c>
      <c r="D327" s="50" t="s">
        <v>33</v>
      </c>
      <c r="E327" s="131">
        <f>'[1]7. INSTALACIONES ELECTRICAS'!J677</f>
        <v>8</v>
      </c>
      <c r="F327" s="52">
        <f>'[1]CAP 7'!H3301</f>
        <v>386784</v>
      </c>
      <c r="G327" s="53">
        <f t="shared" si="8"/>
        <v>3094272</v>
      </c>
      <c r="H327" s="68"/>
      <c r="I327" s="55"/>
      <c r="J327" s="132"/>
      <c r="K327" s="132"/>
    </row>
    <row r="328" spans="2:11" ht="54">
      <c r="B328" s="129" t="s">
        <v>503</v>
      </c>
      <c r="C328" s="130" t="s">
        <v>504</v>
      </c>
      <c r="D328" s="50" t="s">
        <v>33</v>
      </c>
      <c r="E328" s="131">
        <f>'[1]7. INSTALACIONES ELECTRICAS'!J686</f>
        <v>13</v>
      </c>
      <c r="F328" s="52">
        <f>'[1]CAP 7'!H3351</f>
        <v>492703</v>
      </c>
      <c r="G328" s="53">
        <f t="shared" si="8"/>
        <v>6405139</v>
      </c>
      <c r="H328" s="68"/>
      <c r="I328" s="55"/>
      <c r="J328" s="132"/>
      <c r="K328" s="132"/>
    </row>
    <row r="329" spans="2:11" ht="40.5">
      <c r="B329" s="129" t="s">
        <v>505</v>
      </c>
      <c r="C329" s="130" t="s">
        <v>506</v>
      </c>
      <c r="D329" s="50" t="s">
        <v>33</v>
      </c>
      <c r="E329" s="131">
        <f>'[1]7. INSTALACIONES ELECTRICAS'!J695</f>
        <v>8</v>
      </c>
      <c r="F329" s="52">
        <f>'[1]CAP 7'!H3386</f>
        <v>547879</v>
      </c>
      <c r="G329" s="53">
        <f t="shared" si="8"/>
        <v>4383032</v>
      </c>
      <c r="H329" s="68"/>
      <c r="I329" s="55"/>
      <c r="J329" s="132"/>
      <c r="K329" s="132"/>
    </row>
    <row r="330" spans="2:11" ht="40.5">
      <c r="B330" s="129" t="s">
        <v>507</v>
      </c>
      <c r="C330" s="130" t="s">
        <v>508</v>
      </c>
      <c r="D330" s="50" t="s">
        <v>33</v>
      </c>
      <c r="E330" s="131">
        <f>'[1]7. INSTALACIONES ELECTRICAS'!J704</f>
        <v>2</v>
      </c>
      <c r="F330" s="52">
        <f>'[1]CAP 7'!H3417</f>
        <v>600707</v>
      </c>
      <c r="G330" s="53">
        <f t="shared" si="8"/>
        <v>1201414</v>
      </c>
      <c r="H330" s="68"/>
      <c r="I330" s="55"/>
      <c r="J330" s="132"/>
      <c r="K330" s="132"/>
    </row>
    <row r="331" spans="2:11" ht="51">
      <c r="B331" s="134">
        <v>7.4</v>
      </c>
      <c r="C331" s="127" t="s">
        <v>509</v>
      </c>
      <c r="D331" s="87"/>
      <c r="E331" s="128"/>
      <c r="F331" s="89"/>
      <c r="G331" s="90"/>
      <c r="H331" s="47"/>
      <c r="I331" s="55"/>
      <c r="J331" s="132"/>
      <c r="K331" s="132"/>
    </row>
    <row r="332" spans="2:11">
      <c r="B332" s="129" t="s">
        <v>510</v>
      </c>
      <c r="C332" s="130" t="s">
        <v>511</v>
      </c>
      <c r="D332" s="50" t="s">
        <v>33</v>
      </c>
      <c r="E332" s="131">
        <f>'[1]7. INSTALACIONES ELECTRICAS'!J715</f>
        <v>1</v>
      </c>
      <c r="F332" s="52">
        <f>'[1]CAP 7'!H3445</f>
        <v>84802</v>
      </c>
      <c r="G332" s="53">
        <f t="shared" si="8"/>
        <v>84802</v>
      </c>
      <c r="H332" s="68"/>
      <c r="I332" s="55"/>
      <c r="J332" s="132"/>
      <c r="K332" s="132"/>
    </row>
    <row r="333" spans="2:11">
      <c r="B333" s="129" t="s">
        <v>512</v>
      </c>
      <c r="C333" s="130" t="s">
        <v>513</v>
      </c>
      <c r="D333" s="50" t="s">
        <v>33</v>
      </c>
      <c r="E333" s="131">
        <f>'[1]7. INSTALACIONES ELECTRICAS'!J724</f>
        <v>80</v>
      </c>
      <c r="F333" s="52">
        <f>'[1]CAP 7'!H3473</f>
        <v>42969</v>
      </c>
      <c r="G333" s="53">
        <f t="shared" si="8"/>
        <v>3437520</v>
      </c>
      <c r="H333" s="68"/>
      <c r="I333" s="55"/>
      <c r="J333" s="132"/>
      <c r="K333" s="132"/>
    </row>
    <row r="334" spans="2:11">
      <c r="B334" s="129" t="s">
        <v>514</v>
      </c>
      <c r="C334" s="130" t="s">
        <v>515</v>
      </c>
      <c r="D334" s="50" t="s">
        <v>33</v>
      </c>
      <c r="E334" s="131">
        <f>'[1]7. INSTALACIONES ELECTRICAS'!J733</f>
        <v>186</v>
      </c>
      <c r="F334" s="52">
        <f>'[1]CAP 7'!H3503</f>
        <v>18561</v>
      </c>
      <c r="G334" s="53">
        <f t="shared" si="8"/>
        <v>3452346</v>
      </c>
      <c r="H334" s="68"/>
      <c r="I334" s="55"/>
      <c r="J334" s="132"/>
      <c r="K334" s="132"/>
    </row>
    <row r="335" spans="2:11">
      <c r="B335" s="129" t="s">
        <v>516</v>
      </c>
      <c r="C335" s="130" t="s">
        <v>517</v>
      </c>
      <c r="D335" s="50" t="s">
        <v>33</v>
      </c>
      <c r="E335" s="131">
        <f>'[1]7. INSTALACIONES ELECTRICAS'!J742</f>
        <v>18</v>
      </c>
      <c r="F335" s="52">
        <f>'[1]CAP 7'!H3533</f>
        <v>98571</v>
      </c>
      <c r="G335" s="53">
        <f t="shared" si="8"/>
        <v>1774278</v>
      </c>
      <c r="H335" s="68"/>
      <c r="I335" s="55"/>
      <c r="J335" s="132"/>
      <c r="K335" s="132"/>
    </row>
    <row r="336" spans="2:11">
      <c r="B336" s="129" t="s">
        <v>518</v>
      </c>
      <c r="C336" s="130" t="s">
        <v>519</v>
      </c>
      <c r="D336" s="50" t="s">
        <v>33</v>
      </c>
      <c r="E336" s="131">
        <f>'[1]7. INSTALACIONES ELECTRICAS'!J751</f>
        <v>38</v>
      </c>
      <c r="F336" s="52">
        <f>'[1]CAP 7'!H3562</f>
        <v>245996</v>
      </c>
      <c r="G336" s="53">
        <f t="shared" si="8"/>
        <v>9347848</v>
      </c>
      <c r="H336" s="68"/>
      <c r="I336" s="55"/>
      <c r="J336" s="132"/>
      <c r="K336" s="132"/>
    </row>
    <row r="337" spans="2:11">
      <c r="B337" s="129" t="s">
        <v>520</v>
      </c>
      <c r="C337" s="130" t="s">
        <v>521</v>
      </c>
      <c r="D337" s="50" t="s">
        <v>33</v>
      </c>
      <c r="E337" s="131">
        <f>'[1]7. INSTALACIONES ELECTRICAS'!J760</f>
        <v>5</v>
      </c>
      <c r="F337" s="52">
        <f>'[1]CAP 7'!H3596</f>
        <v>245922</v>
      </c>
      <c r="G337" s="53">
        <f t="shared" si="8"/>
        <v>1229610</v>
      </c>
      <c r="H337" s="68"/>
      <c r="I337" s="55"/>
      <c r="J337" s="132"/>
      <c r="K337" s="132"/>
    </row>
    <row r="338" spans="2:11">
      <c r="B338" s="129" t="s">
        <v>522</v>
      </c>
      <c r="C338" s="130" t="s">
        <v>523</v>
      </c>
      <c r="D338" s="50" t="s">
        <v>33</v>
      </c>
      <c r="E338" s="131">
        <f>'[1]7. INSTALACIONES ELECTRICAS'!J769</f>
        <v>24</v>
      </c>
      <c r="F338" s="52">
        <f>'[1]CAP 7'!H3624</f>
        <v>122718</v>
      </c>
      <c r="G338" s="53">
        <f t="shared" si="8"/>
        <v>2945232</v>
      </c>
      <c r="H338" s="68"/>
      <c r="I338" s="55"/>
      <c r="J338" s="132"/>
      <c r="K338" s="132"/>
    </row>
    <row r="339" spans="2:11">
      <c r="B339" s="129" t="s">
        <v>524</v>
      </c>
      <c r="C339" s="130" t="s">
        <v>525</v>
      </c>
      <c r="D339" s="50" t="s">
        <v>33</v>
      </c>
      <c r="E339" s="131">
        <f>'[1]7. INSTALACIONES ELECTRICAS'!J778</f>
        <v>12</v>
      </c>
      <c r="F339" s="52">
        <f>'[1]CAP 7'!H3652</f>
        <v>154734</v>
      </c>
      <c r="G339" s="53">
        <f t="shared" si="8"/>
        <v>1856808</v>
      </c>
      <c r="H339" s="68"/>
      <c r="I339" s="55"/>
      <c r="J339" s="132"/>
      <c r="K339" s="132"/>
    </row>
    <row r="340" spans="2:11">
      <c r="B340" s="134">
        <v>7.5</v>
      </c>
      <c r="C340" s="127" t="s">
        <v>526</v>
      </c>
      <c r="D340" s="136"/>
      <c r="E340" s="137"/>
      <c r="F340" s="138"/>
      <c r="G340" s="139"/>
      <c r="H340" s="47"/>
      <c r="I340" s="55"/>
      <c r="J340" s="132"/>
      <c r="K340" s="132"/>
    </row>
    <row r="341" spans="2:11" ht="67.5">
      <c r="B341" s="129" t="s">
        <v>527</v>
      </c>
      <c r="C341" s="130" t="s">
        <v>528</v>
      </c>
      <c r="D341" s="50" t="s">
        <v>33</v>
      </c>
      <c r="E341" s="131">
        <f>'[1]7. INSTALACIONES ELECTRICAS'!J789</f>
        <v>1</v>
      </c>
      <c r="F341" s="52">
        <f>'[1]CAP 7'!H3690</f>
        <v>1934698</v>
      </c>
      <c r="G341" s="53">
        <f t="shared" si="8"/>
        <v>1934698</v>
      </c>
      <c r="H341" s="68"/>
      <c r="I341" s="55"/>
      <c r="J341" s="132"/>
      <c r="K341" s="132"/>
    </row>
    <row r="342" spans="2:11" ht="67.5">
      <c r="B342" s="129" t="s">
        <v>529</v>
      </c>
      <c r="C342" s="130" t="s">
        <v>530</v>
      </c>
      <c r="D342" s="50" t="s">
        <v>33</v>
      </c>
      <c r="E342" s="131">
        <f>'[1]7. INSTALACIONES ELECTRICAS'!J798</f>
        <v>1</v>
      </c>
      <c r="F342" s="52">
        <f>'[1]CAP 7'!H3728</f>
        <v>2814625</v>
      </c>
      <c r="G342" s="53">
        <f t="shared" si="8"/>
        <v>2814625</v>
      </c>
      <c r="H342" s="68"/>
      <c r="I342" s="55"/>
      <c r="J342" s="132"/>
      <c r="K342" s="132"/>
    </row>
    <row r="343" spans="2:11" ht="67.5">
      <c r="B343" s="129" t="s">
        <v>531</v>
      </c>
      <c r="C343" s="130" t="s">
        <v>532</v>
      </c>
      <c r="D343" s="50" t="s">
        <v>33</v>
      </c>
      <c r="E343" s="131">
        <f>'[1]7. INSTALACIONES ELECTRICAS'!J807</f>
        <v>1</v>
      </c>
      <c r="F343" s="52">
        <f>'[1]CAP 7'!H3766</f>
        <v>2054698</v>
      </c>
      <c r="G343" s="53">
        <f t="shared" si="8"/>
        <v>2054698</v>
      </c>
      <c r="H343" s="68"/>
      <c r="I343" s="55"/>
      <c r="J343" s="132"/>
      <c r="K343" s="132"/>
    </row>
    <row r="344" spans="2:11" ht="67.5">
      <c r="B344" s="129" t="s">
        <v>533</v>
      </c>
      <c r="C344" s="130" t="s">
        <v>534</v>
      </c>
      <c r="D344" s="50" t="s">
        <v>33</v>
      </c>
      <c r="E344" s="131">
        <f>'[1]7. INSTALACIONES ELECTRICAS'!J816</f>
        <v>1</v>
      </c>
      <c r="F344" s="52">
        <f>'[1]CAP 7'!H3804</f>
        <v>2354698</v>
      </c>
      <c r="G344" s="53">
        <f t="shared" si="8"/>
        <v>2354698</v>
      </c>
      <c r="H344" s="68"/>
      <c r="I344" s="55"/>
      <c r="J344" s="132"/>
      <c r="K344" s="132"/>
    </row>
    <row r="345" spans="2:11" ht="67.5">
      <c r="B345" s="129" t="s">
        <v>535</v>
      </c>
      <c r="C345" s="130" t="s">
        <v>536</v>
      </c>
      <c r="D345" s="50" t="s">
        <v>33</v>
      </c>
      <c r="E345" s="131">
        <f>'[1]7. INSTALACIONES ELECTRICAS'!J825</f>
        <v>1</v>
      </c>
      <c r="F345" s="52">
        <f>'[1]CAP 7'!H3842</f>
        <v>2654698</v>
      </c>
      <c r="G345" s="53">
        <f t="shared" si="8"/>
        <v>2654698</v>
      </c>
      <c r="H345" s="68"/>
      <c r="I345" s="55"/>
      <c r="J345" s="132"/>
      <c r="K345" s="132"/>
    </row>
    <row r="346" spans="2:11" ht="67.5">
      <c r="B346" s="129" t="s">
        <v>537</v>
      </c>
      <c r="C346" s="130" t="s">
        <v>538</v>
      </c>
      <c r="D346" s="50" t="s">
        <v>33</v>
      </c>
      <c r="E346" s="131">
        <f>'[1]7. INSTALACIONES ELECTRICAS'!J834</f>
        <v>1</v>
      </c>
      <c r="F346" s="52">
        <f>'[1]CAP 7'!H3880</f>
        <v>2594698</v>
      </c>
      <c r="G346" s="53">
        <f t="shared" si="8"/>
        <v>2594698</v>
      </c>
      <c r="H346" s="68"/>
      <c r="I346" s="55"/>
      <c r="J346" s="132"/>
      <c r="K346" s="132"/>
    </row>
    <row r="347" spans="2:11" ht="67.5">
      <c r="B347" s="129" t="s">
        <v>539</v>
      </c>
      <c r="C347" s="130" t="s">
        <v>540</v>
      </c>
      <c r="D347" s="50" t="s">
        <v>33</v>
      </c>
      <c r="E347" s="131">
        <f>'[1]7. INSTALACIONES ELECTRICAS'!J843</f>
        <v>1</v>
      </c>
      <c r="F347" s="52">
        <f>'[1]CAP 7'!H3918</f>
        <v>1814698</v>
      </c>
      <c r="G347" s="53">
        <f t="shared" si="8"/>
        <v>1814698</v>
      </c>
      <c r="H347" s="68"/>
      <c r="I347" s="55"/>
      <c r="J347" s="132"/>
      <c r="K347" s="132"/>
    </row>
    <row r="348" spans="2:11" ht="67.5">
      <c r="B348" s="129" t="s">
        <v>541</v>
      </c>
      <c r="C348" s="130" t="s">
        <v>542</v>
      </c>
      <c r="D348" s="50" t="s">
        <v>33</v>
      </c>
      <c r="E348" s="131">
        <f>'[1]7. INSTALACIONES ELECTRICAS'!J852</f>
        <v>1</v>
      </c>
      <c r="F348" s="52">
        <f>'[1]CAP 7'!H3956</f>
        <v>1814698</v>
      </c>
      <c r="G348" s="53">
        <f t="shared" si="8"/>
        <v>1814698</v>
      </c>
      <c r="H348" s="68"/>
      <c r="I348" s="55"/>
      <c r="J348" s="132"/>
      <c r="K348" s="132"/>
    </row>
    <row r="349" spans="2:11" ht="67.5">
      <c r="B349" s="129" t="s">
        <v>543</v>
      </c>
      <c r="C349" s="130" t="s">
        <v>544</v>
      </c>
      <c r="D349" s="50" t="s">
        <v>33</v>
      </c>
      <c r="E349" s="131">
        <f>'[1]7. INSTALACIONES ELECTRICAS'!J861</f>
        <v>1</v>
      </c>
      <c r="F349" s="52">
        <f>'[1]CAP 7'!H4006</f>
        <v>1814698</v>
      </c>
      <c r="G349" s="53">
        <f t="shared" si="8"/>
        <v>1814698</v>
      </c>
      <c r="H349" s="68"/>
      <c r="I349" s="55"/>
      <c r="J349" s="132"/>
      <c r="K349" s="132"/>
    </row>
    <row r="350" spans="2:11">
      <c r="B350" s="134">
        <v>7.6</v>
      </c>
      <c r="C350" s="127" t="s">
        <v>545</v>
      </c>
      <c r="D350" s="136"/>
      <c r="E350" s="137"/>
      <c r="F350" s="138"/>
      <c r="G350" s="139"/>
      <c r="H350" s="47"/>
      <c r="I350" s="55"/>
      <c r="J350" s="132"/>
      <c r="K350" s="132"/>
    </row>
    <row r="351" spans="2:11" ht="27">
      <c r="B351" s="66" t="s">
        <v>546</v>
      </c>
      <c r="C351" s="140" t="s">
        <v>547</v>
      </c>
      <c r="D351" s="50" t="s">
        <v>33</v>
      </c>
      <c r="E351" s="141">
        <f>'[1]7. INSTALACIONES ELECTRICAS'!J872</f>
        <v>1</v>
      </c>
      <c r="F351" s="52">
        <f>'[1]CAP 7'!H4056</f>
        <v>18039415</v>
      </c>
      <c r="G351" s="53">
        <f t="shared" si="8"/>
        <v>18039415</v>
      </c>
      <c r="H351" s="68"/>
      <c r="I351" s="55"/>
      <c r="J351" s="132"/>
      <c r="K351" s="132"/>
    </row>
    <row r="352" spans="2:11" ht="40.5">
      <c r="B352" s="66" t="s">
        <v>548</v>
      </c>
      <c r="C352" s="140" t="s">
        <v>549</v>
      </c>
      <c r="D352" s="50" t="s">
        <v>33</v>
      </c>
      <c r="E352" s="141">
        <f>'[1]7. INSTALACIONES ELECTRICAS'!J881</f>
        <v>1</v>
      </c>
      <c r="F352" s="52">
        <f>'[1]CAP 7'!H4095</f>
        <v>2425949</v>
      </c>
      <c r="G352" s="53">
        <f t="shared" si="8"/>
        <v>2425949</v>
      </c>
      <c r="H352" s="68"/>
      <c r="I352" s="55"/>
      <c r="J352" s="132"/>
      <c r="K352" s="132"/>
    </row>
    <row r="353" spans="2:11" ht="40.5">
      <c r="B353" s="66" t="s">
        <v>550</v>
      </c>
      <c r="C353" s="140" t="s">
        <v>551</v>
      </c>
      <c r="D353" s="50" t="s">
        <v>33</v>
      </c>
      <c r="E353" s="141">
        <f>'[1]7. INSTALACIONES ELECTRICAS'!J890</f>
        <v>2</v>
      </c>
      <c r="F353" s="52">
        <f>'[1]CAP 7'!H4134</f>
        <v>2425949</v>
      </c>
      <c r="G353" s="53">
        <f t="shared" si="8"/>
        <v>4851898</v>
      </c>
      <c r="H353" s="68"/>
      <c r="I353" s="55"/>
      <c r="J353" s="132"/>
      <c r="K353" s="132"/>
    </row>
    <row r="354" spans="2:11" ht="27">
      <c r="B354" s="66" t="s">
        <v>552</v>
      </c>
      <c r="C354" s="140" t="s">
        <v>553</v>
      </c>
      <c r="D354" s="50" t="s">
        <v>33</v>
      </c>
      <c r="E354" s="141">
        <f>'[1]7. INSTALACIONES ELECTRICAS'!J899</f>
        <v>1</v>
      </c>
      <c r="F354" s="52">
        <f>'[1]CAP 7'!H4173</f>
        <v>2000324</v>
      </c>
      <c r="G354" s="53">
        <f t="shared" si="8"/>
        <v>2000324</v>
      </c>
      <c r="H354" s="68"/>
      <c r="I354" s="55"/>
      <c r="J354" s="132"/>
      <c r="K354" s="132"/>
    </row>
    <row r="355" spans="2:11" ht="27">
      <c r="B355" s="66" t="s">
        <v>554</v>
      </c>
      <c r="C355" s="140" t="s">
        <v>555</v>
      </c>
      <c r="D355" s="50" t="s">
        <v>33</v>
      </c>
      <c r="E355" s="141">
        <f>'[1]7. INSTALACIONES ELECTRICAS'!J908</f>
        <v>1</v>
      </c>
      <c r="F355" s="52">
        <f>'[1]CAP 7'!H4212</f>
        <v>2168726</v>
      </c>
      <c r="G355" s="53">
        <f t="shared" si="8"/>
        <v>2168726</v>
      </c>
      <c r="H355" s="68"/>
      <c r="I355" s="55"/>
      <c r="J355" s="132"/>
      <c r="K355" s="132"/>
    </row>
    <row r="356" spans="2:11" ht="27">
      <c r="B356" s="66" t="s">
        <v>556</v>
      </c>
      <c r="C356" s="140" t="s">
        <v>557</v>
      </c>
      <c r="D356" s="50" t="s">
        <v>33</v>
      </c>
      <c r="E356" s="141">
        <f>'[1]7. INSTALACIONES ELECTRICAS'!J917</f>
        <v>1</v>
      </c>
      <c r="F356" s="52">
        <f>'[1]CAP 7'!H4262</f>
        <v>25109937</v>
      </c>
      <c r="G356" s="53">
        <f t="shared" si="8"/>
        <v>25109937</v>
      </c>
      <c r="H356" s="68"/>
      <c r="I356" s="55"/>
      <c r="J356" s="132"/>
      <c r="K356" s="132"/>
    </row>
    <row r="357" spans="2:11">
      <c r="B357" s="66" t="s">
        <v>558</v>
      </c>
      <c r="C357" s="140" t="s">
        <v>559</v>
      </c>
      <c r="D357" s="50" t="s">
        <v>33</v>
      </c>
      <c r="E357" s="141">
        <f>'[1]7. INSTALACIONES ELECTRICAS'!J926</f>
        <v>1</v>
      </c>
      <c r="F357" s="52">
        <f>'[1]CAP 7'!H4312</f>
        <v>20468937</v>
      </c>
      <c r="G357" s="53">
        <f t="shared" si="8"/>
        <v>20468937</v>
      </c>
      <c r="H357" s="68"/>
      <c r="I357" s="55"/>
      <c r="J357" s="132"/>
      <c r="K357" s="132"/>
    </row>
    <row r="358" spans="2:11" ht="27">
      <c r="B358" s="66">
        <v>7.7</v>
      </c>
      <c r="C358" s="49" t="s">
        <v>560</v>
      </c>
      <c r="D358" s="50" t="s">
        <v>33</v>
      </c>
      <c r="E358" s="141">
        <f>'[1]7. INSTALACIONES ELECTRICAS'!J935</f>
        <v>1</v>
      </c>
      <c r="F358" s="52">
        <f>'[1]CAP 7'!H4362</f>
        <v>52956312</v>
      </c>
      <c r="G358" s="53">
        <f>+ROUND((E358*F358),0)</f>
        <v>52956312</v>
      </c>
      <c r="H358" s="68"/>
      <c r="I358" s="55"/>
      <c r="J358" s="132"/>
      <c r="K358" s="132"/>
    </row>
    <row r="359" spans="2:11">
      <c r="B359" s="66" t="s">
        <v>561</v>
      </c>
      <c r="C359" s="49" t="s">
        <v>562</v>
      </c>
      <c r="D359" s="50" t="s">
        <v>33</v>
      </c>
      <c r="E359" s="141">
        <f>'[1]7. INSTALACIONES ELECTRICAS'!J944</f>
        <v>1</v>
      </c>
      <c r="F359" s="52">
        <f>'[1]CAP 7'!H4412</f>
        <v>389204949</v>
      </c>
      <c r="G359" s="53">
        <f t="shared" si="8"/>
        <v>389204949</v>
      </c>
      <c r="H359" s="68"/>
      <c r="I359" s="55"/>
      <c r="J359" s="132"/>
      <c r="K359" s="132"/>
    </row>
    <row r="360" spans="2:11">
      <c r="B360" s="142">
        <v>7.9</v>
      </c>
      <c r="C360" s="92" t="s">
        <v>563</v>
      </c>
      <c r="D360" s="87"/>
      <c r="E360" s="143"/>
      <c r="F360" s="89"/>
      <c r="G360" s="90"/>
      <c r="H360" s="47"/>
      <c r="I360" s="55"/>
      <c r="J360" s="132"/>
      <c r="K360" s="132"/>
    </row>
    <row r="361" spans="2:11">
      <c r="B361" s="66">
        <v>7.9</v>
      </c>
      <c r="C361" s="140" t="s">
        <v>563</v>
      </c>
      <c r="D361" s="50" t="s">
        <v>33</v>
      </c>
      <c r="E361" s="141">
        <f>'[1]7. INSTALACIONES ELECTRICAS'!J955</f>
        <v>1</v>
      </c>
      <c r="F361" s="52">
        <f>'[1]CAP 7'!H4521</f>
        <v>9693235</v>
      </c>
      <c r="G361" s="53">
        <f t="shared" si="8"/>
        <v>9693235</v>
      </c>
      <c r="H361" s="68"/>
      <c r="I361" s="55"/>
      <c r="J361" s="132"/>
      <c r="K361" s="132"/>
    </row>
    <row r="362" spans="2:11">
      <c r="B362" s="144">
        <v>7.1</v>
      </c>
      <c r="C362" s="92" t="s">
        <v>564</v>
      </c>
      <c r="D362" s="87"/>
      <c r="E362" s="143"/>
      <c r="F362" s="89"/>
      <c r="G362" s="90"/>
      <c r="H362" s="47"/>
      <c r="I362" s="55"/>
      <c r="J362" s="132"/>
      <c r="K362" s="132"/>
    </row>
    <row r="363" spans="2:11" ht="67.5">
      <c r="B363" s="66" t="s">
        <v>565</v>
      </c>
      <c r="C363" s="140" t="s">
        <v>566</v>
      </c>
      <c r="D363" s="50" t="s">
        <v>54</v>
      </c>
      <c r="E363" s="141">
        <f>'[1]7. INSTALACIONES ELECTRICAS'!J966</f>
        <v>50</v>
      </c>
      <c r="F363" s="52">
        <f>'[1]CAP 7'!H4594</f>
        <v>50572</v>
      </c>
      <c r="G363" s="53">
        <f t="shared" si="8"/>
        <v>2528600</v>
      </c>
      <c r="H363" s="68"/>
      <c r="I363" s="55"/>
      <c r="J363" s="132"/>
      <c r="K363" s="132"/>
    </row>
    <row r="364" spans="2:11">
      <c r="B364" s="144">
        <v>7.11</v>
      </c>
      <c r="C364" s="92" t="s">
        <v>567</v>
      </c>
      <c r="D364" s="87"/>
      <c r="E364" s="143"/>
      <c r="F364" s="89"/>
      <c r="G364" s="89"/>
      <c r="H364" s="47"/>
      <c r="I364" s="55"/>
      <c r="J364" s="132"/>
      <c r="K364" s="132"/>
    </row>
    <row r="365" spans="2:11" ht="67.5">
      <c r="B365" s="66" t="s">
        <v>568</v>
      </c>
      <c r="C365" s="140" t="s">
        <v>569</v>
      </c>
      <c r="D365" s="50" t="s">
        <v>54</v>
      </c>
      <c r="E365" s="145">
        <f>'[1]7. INSTALACIONES ELECTRICAS'!J977</f>
        <v>60</v>
      </c>
      <c r="F365" s="52">
        <f>'[1]CAP 7'!H4629</f>
        <v>86927</v>
      </c>
      <c r="G365" s="53">
        <f t="shared" si="8"/>
        <v>5215620</v>
      </c>
      <c r="H365" s="68"/>
      <c r="I365" s="55"/>
      <c r="J365" s="132"/>
      <c r="K365" s="132"/>
    </row>
    <row r="366" spans="2:11" ht="54">
      <c r="B366" s="66" t="s">
        <v>570</v>
      </c>
      <c r="C366" s="140" t="s">
        <v>571</v>
      </c>
      <c r="D366" s="50" t="s">
        <v>54</v>
      </c>
      <c r="E366" s="145">
        <f>'[1]7. INSTALACIONES ELECTRICAS'!J986</f>
        <v>50</v>
      </c>
      <c r="F366" s="52">
        <f>'[1]CAP 7'!H4665</f>
        <v>73023</v>
      </c>
      <c r="G366" s="53">
        <f t="shared" si="8"/>
        <v>3651150</v>
      </c>
      <c r="H366" s="68"/>
      <c r="I366" s="55"/>
      <c r="J366" s="132"/>
      <c r="K366" s="132"/>
    </row>
    <row r="367" spans="2:11">
      <c r="B367" s="91">
        <v>7.12</v>
      </c>
      <c r="C367" s="92" t="s">
        <v>572</v>
      </c>
      <c r="D367" s="87"/>
      <c r="E367" s="143"/>
      <c r="F367" s="89"/>
      <c r="G367" s="90"/>
      <c r="H367" s="47"/>
      <c r="I367" s="55"/>
      <c r="J367" s="132"/>
      <c r="K367" s="132"/>
    </row>
    <row r="368" spans="2:11" ht="54">
      <c r="B368" s="66" t="s">
        <v>573</v>
      </c>
      <c r="C368" s="140" t="s">
        <v>574</v>
      </c>
      <c r="D368" s="50" t="s">
        <v>33</v>
      </c>
      <c r="E368" s="145">
        <f>'[1]7. INSTALACIONES ELECTRICAS'!J997</f>
        <v>1</v>
      </c>
      <c r="F368" s="52">
        <f>'[1]CAP 7'!H4701</f>
        <v>2220422</v>
      </c>
      <c r="G368" s="53">
        <f t="shared" si="8"/>
        <v>2220422</v>
      </c>
      <c r="H368" s="68"/>
      <c r="I368" s="55"/>
      <c r="J368" s="132"/>
      <c r="K368" s="132"/>
    </row>
    <row r="369" spans="2:11">
      <c r="B369" s="91">
        <v>7.13</v>
      </c>
      <c r="C369" s="92" t="s">
        <v>575</v>
      </c>
      <c r="D369" s="87"/>
      <c r="E369" s="143"/>
      <c r="F369" s="89"/>
      <c r="G369" s="90"/>
      <c r="H369" s="47"/>
      <c r="I369" s="55"/>
      <c r="J369" s="132"/>
      <c r="K369" s="132"/>
    </row>
    <row r="370" spans="2:11" ht="54">
      <c r="B370" s="66" t="s">
        <v>576</v>
      </c>
      <c r="C370" s="140" t="s">
        <v>577</v>
      </c>
      <c r="D370" s="50" t="s">
        <v>54</v>
      </c>
      <c r="E370" s="145">
        <f>'[1]7. INSTALACIONES ELECTRICAS'!J1008</f>
        <v>100</v>
      </c>
      <c r="F370" s="52">
        <f>'[1]CAP 7'!H4740</f>
        <v>76817</v>
      </c>
      <c r="G370" s="53">
        <f t="shared" si="8"/>
        <v>7681700</v>
      </c>
      <c r="H370" s="68"/>
      <c r="I370" s="55"/>
      <c r="J370" s="132"/>
      <c r="K370" s="132"/>
    </row>
    <row r="371" spans="2:11" ht="40.5">
      <c r="B371" s="66" t="s">
        <v>578</v>
      </c>
      <c r="C371" s="140" t="s">
        <v>579</v>
      </c>
      <c r="D371" s="50" t="s">
        <v>54</v>
      </c>
      <c r="E371" s="145">
        <f>'[1]7. INSTALACIONES ELECTRICAS'!J1017</f>
        <v>44</v>
      </c>
      <c r="F371" s="52">
        <f>'[1]CAP 7'!H4777</f>
        <v>43833</v>
      </c>
      <c r="G371" s="53">
        <f t="shared" si="8"/>
        <v>1928652</v>
      </c>
      <c r="H371" s="68"/>
      <c r="I371" s="55"/>
      <c r="J371" s="132"/>
      <c r="K371" s="132"/>
    </row>
    <row r="372" spans="2:11" ht="67.5">
      <c r="B372" s="66" t="s">
        <v>580</v>
      </c>
      <c r="C372" s="140" t="s">
        <v>581</v>
      </c>
      <c r="D372" s="50" t="s">
        <v>54</v>
      </c>
      <c r="E372" s="145">
        <f>'[1]7. INSTALACIONES ELECTRICAS'!J1026</f>
        <v>389</v>
      </c>
      <c r="F372" s="52">
        <f>'[1]CAP 7'!H4814</f>
        <v>22677</v>
      </c>
      <c r="G372" s="53">
        <f t="shared" si="8"/>
        <v>8821353</v>
      </c>
      <c r="H372" s="68"/>
      <c r="I372" s="55"/>
      <c r="J372" s="132"/>
      <c r="K372" s="132"/>
    </row>
    <row r="373" spans="2:11" ht="67.5">
      <c r="B373" s="66" t="s">
        <v>582</v>
      </c>
      <c r="C373" s="140" t="s">
        <v>583</v>
      </c>
      <c r="D373" s="50" t="s">
        <v>54</v>
      </c>
      <c r="E373" s="145">
        <f>'[1]7. INSTALACIONES ELECTRICAS'!J1035</f>
        <v>21</v>
      </c>
      <c r="F373" s="52">
        <f>'[1]CAP 7'!H4851</f>
        <v>115435</v>
      </c>
      <c r="G373" s="53">
        <f t="shared" si="8"/>
        <v>2424135</v>
      </c>
      <c r="H373" s="68"/>
      <c r="I373" s="55"/>
      <c r="J373" s="132"/>
      <c r="K373" s="132"/>
    </row>
    <row r="374" spans="2:11" ht="81">
      <c r="B374" s="66" t="s">
        <v>584</v>
      </c>
      <c r="C374" s="140" t="s">
        <v>585</v>
      </c>
      <c r="D374" s="50" t="s">
        <v>54</v>
      </c>
      <c r="E374" s="145">
        <f>'[1]7. INSTALACIONES ELECTRICAS'!J1044</f>
        <v>21</v>
      </c>
      <c r="F374" s="52">
        <f>'[1]CAP 7'!H4888</f>
        <v>129405</v>
      </c>
      <c r="G374" s="53">
        <f t="shared" si="8"/>
        <v>2717505</v>
      </c>
      <c r="H374" s="68"/>
      <c r="I374" s="55"/>
      <c r="J374" s="132"/>
      <c r="K374" s="132"/>
    </row>
    <row r="375" spans="2:11" ht="40.5">
      <c r="B375" s="66" t="s">
        <v>586</v>
      </c>
      <c r="C375" s="140" t="s">
        <v>587</v>
      </c>
      <c r="D375" s="50" t="s">
        <v>33</v>
      </c>
      <c r="E375" s="145">
        <f>'[1]7. INSTALACIONES ELECTRICAS'!J1053</f>
        <v>1</v>
      </c>
      <c r="F375" s="52">
        <f>'[1]CAP 7'!H4915</f>
        <v>296306</v>
      </c>
      <c r="G375" s="53">
        <f t="shared" si="8"/>
        <v>296306</v>
      </c>
      <c r="H375" s="68"/>
      <c r="I375" s="55"/>
      <c r="J375" s="132"/>
      <c r="K375" s="132"/>
    </row>
    <row r="376" spans="2:11" ht="40.5">
      <c r="B376" s="66" t="s">
        <v>588</v>
      </c>
      <c r="C376" s="140" t="s">
        <v>589</v>
      </c>
      <c r="D376" s="50" t="s">
        <v>33</v>
      </c>
      <c r="E376" s="145">
        <f>'[1]7. INSTALACIONES ELECTRICAS'!J1062</f>
        <v>224</v>
      </c>
      <c r="F376" s="52">
        <f>'[1]CAP 7'!H4946</f>
        <v>34521</v>
      </c>
      <c r="G376" s="53">
        <f>+ROUND((E376*F376),0)</f>
        <v>7732704</v>
      </c>
      <c r="H376" s="68"/>
      <c r="I376" s="55"/>
      <c r="J376" s="132"/>
      <c r="K376" s="132"/>
    </row>
    <row r="377" spans="2:11">
      <c r="B377" s="66" t="s">
        <v>590</v>
      </c>
      <c r="C377" s="140" t="s">
        <v>591</v>
      </c>
      <c r="D377" s="50" t="s">
        <v>54</v>
      </c>
      <c r="E377" s="145">
        <f>'[1]7. INSTALACIONES ELECTRICAS'!J1071</f>
        <v>6</v>
      </c>
      <c r="F377" s="52">
        <f>'[1]CAP 7'!H4976</f>
        <v>160634</v>
      </c>
      <c r="G377" s="53">
        <f>+ROUND((E377*F377),0)</f>
        <v>963804</v>
      </c>
      <c r="H377" s="68"/>
      <c r="I377" s="55"/>
      <c r="J377" s="132"/>
      <c r="K377" s="132"/>
    </row>
    <row r="378" spans="2:11" ht="27">
      <c r="B378" s="66" t="s">
        <v>592</v>
      </c>
      <c r="C378" s="140" t="s">
        <v>593</v>
      </c>
      <c r="D378" s="50" t="s">
        <v>33</v>
      </c>
      <c r="E378" s="145">
        <f>'[1]7. INSTALACIONES ELECTRICAS'!J1080</f>
        <v>2</v>
      </c>
      <c r="F378" s="52">
        <f>'[1]CAP 7'!H5034</f>
        <v>240545</v>
      </c>
      <c r="G378" s="53">
        <f>+ROUND((E378*F378),0)</f>
        <v>481090</v>
      </c>
      <c r="H378" s="68"/>
      <c r="I378" s="55"/>
      <c r="J378" s="132"/>
      <c r="K378" s="132"/>
    </row>
    <row r="379" spans="2:11" ht="67.5">
      <c r="B379" s="66" t="s">
        <v>594</v>
      </c>
      <c r="C379" s="140" t="s">
        <v>595</v>
      </c>
      <c r="D379" s="50" t="s">
        <v>33</v>
      </c>
      <c r="E379" s="145">
        <f>'[1]7. INSTALACIONES ELECTRICAS'!J1089</f>
        <v>1</v>
      </c>
      <c r="F379" s="52">
        <f>'[1]CAP 7'!H5063</f>
        <v>463057</v>
      </c>
      <c r="G379" s="53">
        <f>+ROUND((E379*F379),0)</f>
        <v>463057</v>
      </c>
      <c r="H379" s="68"/>
      <c r="I379" s="55"/>
      <c r="J379" s="132"/>
      <c r="K379" s="132"/>
    </row>
    <row r="380" spans="2:11" ht="38.25">
      <c r="B380" s="146">
        <v>7.14</v>
      </c>
      <c r="C380" s="92" t="s">
        <v>596</v>
      </c>
      <c r="D380" s="87"/>
      <c r="E380" s="147"/>
      <c r="F380" s="89"/>
      <c r="G380" s="90"/>
      <c r="H380" s="47"/>
      <c r="I380" s="55"/>
      <c r="J380" s="132"/>
      <c r="K380" s="132"/>
    </row>
    <row r="381" spans="2:11">
      <c r="B381" s="91"/>
      <c r="C381" s="148" t="s">
        <v>597</v>
      </c>
      <c r="D381" s="87"/>
      <c r="E381" s="143"/>
      <c r="F381" s="89"/>
      <c r="G381" s="90"/>
      <c r="H381" s="47"/>
      <c r="I381" s="55"/>
      <c r="J381" s="132"/>
      <c r="K381" s="132"/>
    </row>
    <row r="382" spans="2:11" ht="54">
      <c r="B382" s="66" t="s">
        <v>598</v>
      </c>
      <c r="C382" s="140" t="s">
        <v>599</v>
      </c>
      <c r="D382" s="50" t="s">
        <v>33</v>
      </c>
      <c r="E382" s="145">
        <f>'[1]7. INSTALACIONES ELECTRICAS'!J1101</f>
        <v>1</v>
      </c>
      <c r="F382" s="52">
        <f>'[1]CAP 7'!H5091</f>
        <v>394637531</v>
      </c>
      <c r="G382" s="53">
        <f t="shared" ref="G382:G401" si="9">+ROUND((E382*F382),0)</f>
        <v>394637531</v>
      </c>
      <c r="H382" s="68"/>
      <c r="I382" s="55"/>
      <c r="J382" s="132"/>
      <c r="K382" s="132"/>
    </row>
    <row r="383" spans="2:11">
      <c r="B383" s="66" t="s">
        <v>600</v>
      </c>
      <c r="C383" s="140" t="s">
        <v>601</v>
      </c>
      <c r="D383" s="50" t="s">
        <v>33</v>
      </c>
      <c r="E383" s="145">
        <f>'[1]7. INSTALACIONES ELECTRICAS'!J1110</f>
        <v>1</v>
      </c>
      <c r="F383" s="52">
        <f>'[1]CAP 7'!H5119</f>
        <v>10648018</v>
      </c>
      <c r="G383" s="53">
        <f t="shared" si="9"/>
        <v>10648018</v>
      </c>
      <c r="H383" s="68"/>
      <c r="I383" s="55"/>
      <c r="J383" s="132"/>
      <c r="K383" s="132"/>
    </row>
    <row r="384" spans="2:11" ht="40.5">
      <c r="B384" s="66" t="s">
        <v>602</v>
      </c>
      <c r="C384" s="140" t="s">
        <v>603</v>
      </c>
      <c r="D384" s="50" t="s">
        <v>604</v>
      </c>
      <c r="E384" s="145">
        <f>'[1]7. INSTALACIONES ELECTRICAS'!J1119</f>
        <v>4</v>
      </c>
      <c r="F384" s="52">
        <f>'[1]CAP 7'!H5150</f>
        <v>1294323</v>
      </c>
      <c r="G384" s="53">
        <f t="shared" si="9"/>
        <v>5177292</v>
      </c>
      <c r="H384" s="68"/>
      <c r="I384" s="55"/>
      <c r="J384" s="132"/>
      <c r="K384" s="132"/>
    </row>
    <row r="385" spans="2:11">
      <c r="B385" s="146"/>
      <c r="C385" s="92" t="s">
        <v>605</v>
      </c>
      <c r="D385" s="87"/>
      <c r="E385" s="147"/>
      <c r="F385" s="89"/>
      <c r="G385" s="90"/>
      <c r="H385" s="47"/>
      <c r="I385" s="55"/>
      <c r="J385" s="132"/>
      <c r="K385" s="132"/>
    </row>
    <row r="386" spans="2:11" ht="40.5">
      <c r="B386" s="66" t="s">
        <v>606</v>
      </c>
      <c r="C386" s="140" t="s">
        <v>607</v>
      </c>
      <c r="D386" s="50" t="s">
        <v>54</v>
      </c>
      <c r="E386" s="145">
        <f>'[1]7. INSTALACIONES ELECTRICAS'!J1129</f>
        <v>60</v>
      </c>
      <c r="F386" s="52">
        <f>'[1]CAP 7'!H5185</f>
        <v>201225</v>
      </c>
      <c r="G386" s="53">
        <f t="shared" si="9"/>
        <v>12073500</v>
      </c>
      <c r="H386" s="68"/>
      <c r="I386" s="55"/>
      <c r="J386" s="132"/>
      <c r="K386" s="132"/>
    </row>
    <row r="387" spans="2:11">
      <c r="B387" s="146"/>
      <c r="C387" s="92" t="s">
        <v>608</v>
      </c>
      <c r="D387" s="87"/>
      <c r="E387" s="147"/>
      <c r="F387" s="89"/>
      <c r="G387" s="90"/>
      <c r="H387" s="47"/>
      <c r="I387" s="55"/>
      <c r="J387" s="132"/>
      <c r="K387" s="132"/>
    </row>
    <row r="388" spans="2:11" ht="40.5">
      <c r="B388" s="66" t="s">
        <v>609</v>
      </c>
      <c r="C388" s="140" t="s">
        <v>610</v>
      </c>
      <c r="D388" s="50" t="s">
        <v>33</v>
      </c>
      <c r="E388" s="145">
        <f>'[1]7. INSTALACIONES ELECTRICAS'!J1139</f>
        <v>1</v>
      </c>
      <c r="F388" s="52">
        <f>'[1]CAP 7'!H5235</f>
        <v>4718243</v>
      </c>
      <c r="G388" s="53">
        <f t="shared" si="9"/>
        <v>4718243</v>
      </c>
      <c r="H388" s="68"/>
      <c r="I388" s="55"/>
      <c r="J388" s="132"/>
      <c r="K388" s="132"/>
    </row>
    <row r="389" spans="2:11" ht="27">
      <c r="B389" s="66" t="s">
        <v>611</v>
      </c>
      <c r="C389" s="140" t="s">
        <v>612</v>
      </c>
      <c r="D389" s="50" t="s">
        <v>33</v>
      </c>
      <c r="E389" s="145">
        <f>'[1]7. INSTALACIONES ELECTRICAS'!J1148</f>
        <v>1</v>
      </c>
      <c r="F389" s="52">
        <f>'[1]CAP 7'!H5285</f>
        <v>4659086</v>
      </c>
      <c r="G389" s="53">
        <f t="shared" si="9"/>
        <v>4659086</v>
      </c>
      <c r="H389" s="68"/>
      <c r="I389" s="55"/>
      <c r="J389" s="132"/>
      <c r="K389" s="132"/>
    </row>
    <row r="390" spans="2:11" ht="27">
      <c r="B390" s="66" t="s">
        <v>613</v>
      </c>
      <c r="C390" s="140" t="s">
        <v>614</v>
      </c>
      <c r="D390" s="50" t="s">
        <v>33</v>
      </c>
      <c r="E390" s="145">
        <f>'[1]7. INSTALACIONES ELECTRICAS'!J1157</f>
        <v>1</v>
      </c>
      <c r="F390" s="52">
        <f>'[1]CAP 7'!H5335</f>
        <v>1955834</v>
      </c>
      <c r="G390" s="53">
        <f t="shared" si="9"/>
        <v>1955834</v>
      </c>
      <c r="H390" s="68"/>
      <c r="I390" s="55"/>
      <c r="J390" s="132"/>
      <c r="K390" s="132"/>
    </row>
    <row r="391" spans="2:11">
      <c r="B391" s="146"/>
      <c r="C391" s="92" t="s">
        <v>615</v>
      </c>
      <c r="D391" s="87"/>
      <c r="E391" s="147"/>
      <c r="F391" s="89"/>
      <c r="G391" s="90"/>
      <c r="H391" s="47"/>
      <c r="I391" s="55"/>
      <c r="J391" s="132"/>
      <c r="K391" s="132"/>
    </row>
    <row r="392" spans="2:11" ht="27">
      <c r="B392" s="66" t="s">
        <v>616</v>
      </c>
      <c r="C392" s="140" t="s">
        <v>617</v>
      </c>
      <c r="D392" s="50" t="s">
        <v>54</v>
      </c>
      <c r="E392" s="145">
        <f>'[1]7. INSTALACIONES ELECTRICAS'!J1167</f>
        <v>60</v>
      </c>
      <c r="F392" s="52">
        <f>'[1]CAP 7'!H5369</f>
        <v>67791</v>
      </c>
      <c r="G392" s="53">
        <f>+ROUND((E392*F392),0)</f>
        <v>4067460</v>
      </c>
      <c r="H392" s="68"/>
      <c r="I392" s="55"/>
      <c r="J392" s="132"/>
      <c r="K392" s="132"/>
    </row>
    <row r="393" spans="2:11">
      <c r="B393" s="146"/>
      <c r="C393" s="92" t="s">
        <v>618</v>
      </c>
      <c r="D393" s="87"/>
      <c r="E393" s="147"/>
      <c r="F393" s="89"/>
      <c r="G393" s="90"/>
      <c r="H393" s="47"/>
      <c r="I393" s="55"/>
      <c r="J393" s="132"/>
      <c r="K393" s="132"/>
    </row>
    <row r="394" spans="2:11" ht="27">
      <c r="B394" s="66" t="s">
        <v>619</v>
      </c>
      <c r="C394" s="140" t="s">
        <v>620</v>
      </c>
      <c r="D394" s="50" t="s">
        <v>54</v>
      </c>
      <c r="E394" s="145">
        <f>'[1]7. INSTALACIONES ELECTRICAS'!J1177</f>
        <v>25</v>
      </c>
      <c r="F394" s="52">
        <f>'[1]CAP 7'!H5419</f>
        <v>261510</v>
      </c>
      <c r="G394" s="53">
        <f>+ROUND((E394*F394),0)</f>
        <v>6537750</v>
      </c>
      <c r="H394" s="68"/>
      <c r="I394" s="55"/>
      <c r="J394" s="132"/>
      <c r="K394" s="132"/>
    </row>
    <row r="395" spans="2:11">
      <c r="B395" s="146"/>
      <c r="C395" s="92" t="s">
        <v>491</v>
      </c>
      <c r="D395" s="87"/>
      <c r="E395" s="147"/>
      <c r="F395" s="89"/>
      <c r="G395" s="90"/>
      <c r="H395" s="47"/>
      <c r="I395" s="55"/>
      <c r="J395" s="132"/>
      <c r="K395" s="132"/>
    </row>
    <row r="396" spans="2:11">
      <c r="B396" s="146"/>
      <c r="C396" s="92" t="s">
        <v>621</v>
      </c>
      <c r="D396" s="87"/>
      <c r="E396" s="147"/>
      <c r="F396" s="89"/>
      <c r="G396" s="90"/>
      <c r="H396" s="47"/>
      <c r="I396" s="55"/>
      <c r="J396" s="132"/>
      <c r="K396" s="132"/>
    </row>
    <row r="397" spans="2:11" ht="40.5">
      <c r="B397" s="66" t="s">
        <v>622</v>
      </c>
      <c r="C397" s="140" t="s">
        <v>623</v>
      </c>
      <c r="D397" s="50" t="s">
        <v>33</v>
      </c>
      <c r="E397" s="145">
        <f>'[1]7. INSTALACIONES ELECTRICAS'!J1188</f>
        <v>1</v>
      </c>
      <c r="F397" s="52">
        <f>'[1]CAP 7'!H5505</f>
        <v>24912035</v>
      </c>
      <c r="G397" s="53">
        <f t="shared" si="9"/>
        <v>24912035</v>
      </c>
      <c r="H397" s="68"/>
      <c r="I397" s="55"/>
      <c r="J397" s="132"/>
      <c r="K397" s="132"/>
    </row>
    <row r="398" spans="2:11">
      <c r="B398" s="146"/>
      <c r="C398" s="92" t="s">
        <v>624</v>
      </c>
      <c r="D398" s="87"/>
      <c r="E398" s="147"/>
      <c r="F398" s="89"/>
      <c r="G398" s="90"/>
      <c r="H398" s="47"/>
      <c r="I398" s="55"/>
      <c r="J398" s="132"/>
      <c r="K398" s="132"/>
    </row>
    <row r="399" spans="2:11" ht="67.5">
      <c r="B399" s="66" t="s">
        <v>625</v>
      </c>
      <c r="C399" s="140" t="s">
        <v>626</v>
      </c>
      <c r="D399" s="50" t="s">
        <v>33</v>
      </c>
      <c r="E399" s="145">
        <f>'[1]7. INSTALACIONES ELECTRICAS'!J1198</f>
        <v>1</v>
      </c>
      <c r="F399" s="52">
        <f>'[1]CAP 7'!H5541</f>
        <v>23841075</v>
      </c>
      <c r="G399" s="53">
        <f t="shared" si="9"/>
        <v>23841075</v>
      </c>
      <c r="H399" s="68"/>
      <c r="I399" s="55"/>
      <c r="J399" s="132"/>
      <c r="K399" s="132"/>
    </row>
    <row r="400" spans="2:11">
      <c r="B400" s="146"/>
      <c r="C400" s="92" t="s">
        <v>627</v>
      </c>
      <c r="D400" s="87"/>
      <c r="E400" s="147"/>
      <c r="F400" s="89"/>
      <c r="G400" s="90"/>
      <c r="H400" s="47"/>
      <c r="I400" s="55"/>
      <c r="J400" s="132"/>
      <c r="K400" s="132"/>
    </row>
    <row r="401" spans="2:11">
      <c r="B401" s="66" t="s">
        <v>628</v>
      </c>
      <c r="C401" s="140" t="s">
        <v>629</v>
      </c>
      <c r="D401" s="50" t="s">
        <v>33</v>
      </c>
      <c r="E401" s="145">
        <f>'[1]7. INSTALACIONES ELECTRICAS'!J1208</f>
        <v>1</v>
      </c>
      <c r="F401" s="52">
        <f>'[1]CAP 7'!H5576</f>
        <v>3483988</v>
      </c>
      <c r="G401" s="53">
        <f t="shared" si="9"/>
        <v>3483988</v>
      </c>
      <c r="H401" s="68"/>
      <c r="I401" s="55"/>
      <c r="J401" s="132"/>
      <c r="K401" s="132"/>
    </row>
    <row r="402" spans="2:11">
      <c r="B402" s="146">
        <v>7.15</v>
      </c>
      <c r="C402" s="92" t="s">
        <v>630</v>
      </c>
      <c r="D402" s="87"/>
      <c r="E402" s="147"/>
      <c r="F402" s="89"/>
      <c r="G402" s="90"/>
      <c r="H402" s="47"/>
      <c r="I402" s="55"/>
      <c r="J402" s="132"/>
      <c r="K402" s="132"/>
    </row>
    <row r="403" spans="2:11">
      <c r="B403" s="146"/>
      <c r="C403" s="92" t="s">
        <v>631</v>
      </c>
      <c r="D403" s="87"/>
      <c r="E403" s="147"/>
      <c r="F403" s="89"/>
      <c r="G403" s="90"/>
      <c r="H403" s="47"/>
      <c r="I403" s="55"/>
      <c r="J403" s="132"/>
      <c r="K403" s="132"/>
    </row>
    <row r="404" spans="2:11" ht="40.5">
      <c r="B404" s="66" t="s">
        <v>632</v>
      </c>
      <c r="C404" s="140" t="s">
        <v>633</v>
      </c>
      <c r="D404" s="50" t="s">
        <v>33</v>
      </c>
      <c r="E404" s="145">
        <f>'[1]7. INSTALACIONES ELECTRICAS'!J1220</f>
        <v>2</v>
      </c>
      <c r="F404" s="52">
        <f>'[1]CAP 7'!H5624</f>
        <v>196385</v>
      </c>
      <c r="G404" s="53">
        <f>+ROUND((E404*F404),0)</f>
        <v>392770</v>
      </c>
      <c r="H404" s="68"/>
      <c r="I404" s="55"/>
      <c r="J404" s="132"/>
      <c r="K404" s="132"/>
    </row>
    <row r="405" spans="2:11" ht="27">
      <c r="B405" s="66" t="s">
        <v>634</v>
      </c>
      <c r="C405" s="140" t="s">
        <v>635</v>
      </c>
      <c r="D405" s="50" t="s">
        <v>33</v>
      </c>
      <c r="E405" s="145">
        <f>'[1]7. INSTALACIONES ELECTRICAS'!J1229</f>
        <v>1</v>
      </c>
      <c r="F405" s="52">
        <f>'[1]CAP 7'!H5659</f>
        <v>130497</v>
      </c>
      <c r="G405" s="53">
        <f>+ROUND((E405*F405),0)</f>
        <v>130497</v>
      </c>
      <c r="H405" s="68"/>
      <c r="I405" s="55"/>
      <c r="J405" s="132"/>
      <c r="K405" s="132"/>
    </row>
    <row r="406" spans="2:11" ht="40.5">
      <c r="B406" s="66" t="s">
        <v>636</v>
      </c>
      <c r="C406" s="140" t="s">
        <v>637</v>
      </c>
      <c r="D406" s="50" t="s">
        <v>33</v>
      </c>
      <c r="E406" s="145">
        <f>'[1]7. INSTALACIONES ELECTRICAS'!J1238</f>
        <v>1</v>
      </c>
      <c r="F406" s="52">
        <f>'[1]CAP 7'!H5694</f>
        <v>441032</v>
      </c>
      <c r="G406" s="53">
        <f>+ROUND((E406*F406),0)</f>
        <v>441032</v>
      </c>
      <c r="H406" s="68"/>
      <c r="I406" s="55"/>
      <c r="J406" s="132"/>
      <c r="K406" s="132"/>
    </row>
    <row r="407" spans="2:11">
      <c r="B407" s="146"/>
      <c r="C407" s="92" t="s">
        <v>638</v>
      </c>
      <c r="D407" s="87"/>
      <c r="E407" s="147"/>
      <c r="F407" s="89"/>
      <c r="G407" s="90"/>
      <c r="H407" s="47"/>
      <c r="I407" s="55"/>
      <c r="J407" s="132"/>
      <c r="K407" s="132"/>
    </row>
    <row r="408" spans="2:11" ht="27">
      <c r="B408" s="66" t="s">
        <v>639</v>
      </c>
      <c r="C408" s="140" t="s">
        <v>640</v>
      </c>
      <c r="D408" s="50" t="s">
        <v>33</v>
      </c>
      <c r="E408" s="145">
        <f>'[1]7. INSTALACIONES ELECTRICAS'!J1248</f>
        <v>1</v>
      </c>
      <c r="F408" s="52">
        <f>'[1]CAP 7'!H5729</f>
        <v>112102</v>
      </c>
      <c r="G408" s="53">
        <f>+ROUND((E408*F408),0)</f>
        <v>112102</v>
      </c>
      <c r="H408" s="68"/>
      <c r="I408" s="55"/>
      <c r="J408" s="132"/>
      <c r="K408" s="132"/>
    </row>
    <row r="409" spans="2:11">
      <c r="B409" s="146">
        <v>7.16</v>
      </c>
      <c r="C409" s="92" t="s">
        <v>641</v>
      </c>
      <c r="D409" s="87"/>
      <c r="E409" s="147"/>
      <c r="F409" s="89"/>
      <c r="G409" s="90"/>
      <c r="H409" s="47"/>
      <c r="I409" s="55"/>
      <c r="J409" s="132"/>
      <c r="K409" s="132"/>
    </row>
    <row r="410" spans="2:11">
      <c r="B410" s="146"/>
      <c r="C410" s="92" t="s">
        <v>642</v>
      </c>
      <c r="D410" s="87"/>
      <c r="E410" s="147"/>
      <c r="F410" s="89"/>
      <c r="G410" s="90"/>
      <c r="H410" s="47"/>
      <c r="I410" s="55"/>
      <c r="J410" s="132"/>
      <c r="K410" s="132"/>
    </row>
    <row r="411" spans="2:11" ht="40.5">
      <c r="B411" s="66" t="s">
        <v>643</v>
      </c>
      <c r="C411" s="140" t="s">
        <v>644</v>
      </c>
      <c r="D411" s="50" t="s">
        <v>33</v>
      </c>
      <c r="E411" s="145">
        <f>'[1]7. INSTALACIONES ELECTRICAS'!J1260</f>
        <v>1</v>
      </c>
      <c r="F411" s="52">
        <f>'[1]CAP 7'!H5766</f>
        <v>1830452</v>
      </c>
      <c r="G411" s="53">
        <f t="shared" ref="G411:G422" si="10">+ROUND((E411*F411),0)</f>
        <v>1830452</v>
      </c>
      <c r="H411" s="68"/>
      <c r="I411" s="55"/>
      <c r="J411" s="132"/>
      <c r="K411" s="132"/>
    </row>
    <row r="412" spans="2:11">
      <c r="B412" s="146"/>
      <c r="C412" s="92" t="s">
        <v>645</v>
      </c>
      <c r="D412" s="87"/>
      <c r="E412" s="147"/>
      <c r="F412" s="89"/>
      <c r="G412" s="90"/>
      <c r="H412" s="47"/>
      <c r="I412" s="55"/>
      <c r="J412" s="132"/>
      <c r="K412" s="132"/>
    </row>
    <row r="413" spans="2:11" ht="27">
      <c r="B413" s="66" t="s">
        <v>646</v>
      </c>
      <c r="C413" s="140" t="s">
        <v>647</v>
      </c>
      <c r="D413" s="50" t="s">
        <v>33</v>
      </c>
      <c r="E413" s="145">
        <f>'[1]7. INSTALACIONES ELECTRICAS'!J1270</f>
        <v>2</v>
      </c>
      <c r="F413" s="52">
        <f>'[1]CAP 7'!H5801</f>
        <v>581581</v>
      </c>
      <c r="G413" s="53">
        <f t="shared" si="10"/>
        <v>1163162</v>
      </c>
      <c r="H413" s="68"/>
      <c r="I413" s="55"/>
      <c r="J413" s="132"/>
      <c r="K413" s="132"/>
    </row>
    <row r="414" spans="2:11">
      <c r="B414" s="146"/>
      <c r="C414" s="92" t="s">
        <v>648</v>
      </c>
      <c r="D414" s="87"/>
      <c r="E414" s="147"/>
      <c r="F414" s="89"/>
      <c r="G414" s="89"/>
      <c r="H414" s="47"/>
      <c r="I414" s="55"/>
      <c r="J414" s="132"/>
      <c r="K414" s="132"/>
    </row>
    <row r="415" spans="2:11" ht="27">
      <c r="B415" s="66" t="s">
        <v>649</v>
      </c>
      <c r="C415" s="140" t="s">
        <v>650</v>
      </c>
      <c r="D415" s="50" t="s">
        <v>33</v>
      </c>
      <c r="E415" s="145">
        <f>'[1]7. INSTALACIONES ELECTRICAS'!J1280</f>
        <v>2</v>
      </c>
      <c r="F415" s="52">
        <f>'[1]CAP 7'!H5836</f>
        <v>1559017</v>
      </c>
      <c r="G415" s="53">
        <f t="shared" si="10"/>
        <v>3118034</v>
      </c>
      <c r="H415" s="68"/>
      <c r="I415" s="55"/>
      <c r="J415" s="132"/>
      <c r="K415" s="132"/>
    </row>
    <row r="416" spans="2:11">
      <c r="B416" s="146"/>
      <c r="C416" s="92" t="s">
        <v>651</v>
      </c>
      <c r="D416" s="87"/>
      <c r="E416" s="147"/>
      <c r="F416" s="89"/>
      <c r="G416" s="89"/>
      <c r="H416" s="47"/>
      <c r="I416" s="55"/>
      <c r="J416" s="132"/>
      <c r="K416" s="132"/>
    </row>
    <row r="417" spans="2:11" ht="27">
      <c r="B417" s="66" t="s">
        <v>652</v>
      </c>
      <c r="C417" s="140" t="s">
        <v>653</v>
      </c>
      <c r="D417" s="50" t="s">
        <v>54</v>
      </c>
      <c r="E417" s="145">
        <f>'[1]7. INSTALACIONES ELECTRICAS'!J1290</f>
        <v>250</v>
      </c>
      <c r="F417" s="52">
        <f>'[1]CAP 7'!H5870</f>
        <v>32680</v>
      </c>
      <c r="G417" s="53">
        <f t="shared" si="10"/>
        <v>8170000</v>
      </c>
      <c r="H417" s="68"/>
      <c r="I417" s="55"/>
      <c r="J417" s="132"/>
      <c r="K417" s="132"/>
    </row>
    <row r="418" spans="2:11">
      <c r="B418" s="146"/>
      <c r="C418" s="92" t="s">
        <v>654</v>
      </c>
      <c r="D418" s="87"/>
      <c r="E418" s="147"/>
      <c r="F418" s="89"/>
      <c r="G418" s="89"/>
      <c r="H418" s="47"/>
      <c r="I418" s="55"/>
      <c r="J418" s="132"/>
      <c r="K418" s="132"/>
    </row>
    <row r="419" spans="2:11" ht="27">
      <c r="B419" s="66" t="s">
        <v>655</v>
      </c>
      <c r="C419" s="140" t="s">
        <v>656</v>
      </c>
      <c r="D419" s="50" t="s">
        <v>33</v>
      </c>
      <c r="E419" s="145">
        <f>'[1]7. INSTALACIONES ELECTRICAS'!J1300</f>
        <v>2</v>
      </c>
      <c r="F419" s="52">
        <f>'[1]CAP 7'!H5905</f>
        <v>1595085</v>
      </c>
      <c r="G419" s="53">
        <f t="shared" si="10"/>
        <v>3190170</v>
      </c>
      <c r="H419" s="68"/>
      <c r="I419" s="55"/>
      <c r="J419" s="132"/>
      <c r="K419" s="132"/>
    </row>
    <row r="420" spans="2:11">
      <c r="B420" s="146"/>
      <c r="C420" s="92" t="s">
        <v>657</v>
      </c>
      <c r="D420" s="87"/>
      <c r="E420" s="147"/>
      <c r="F420" s="89"/>
      <c r="G420" s="90"/>
      <c r="H420" s="47"/>
      <c r="I420" s="55"/>
      <c r="J420" s="132"/>
      <c r="K420" s="132"/>
    </row>
    <row r="421" spans="2:11" ht="67.5">
      <c r="B421" s="66" t="s">
        <v>658</v>
      </c>
      <c r="C421" s="140" t="s">
        <v>659</v>
      </c>
      <c r="D421" s="50" t="s">
        <v>33</v>
      </c>
      <c r="E421" s="145">
        <f>'[1]7. INSTALACIONES ELECTRICAS'!J1310</f>
        <v>1</v>
      </c>
      <c r="F421" s="52">
        <f>'[1]CAP 7'!H5943</f>
        <v>579564</v>
      </c>
      <c r="G421" s="53">
        <f t="shared" si="10"/>
        <v>579564</v>
      </c>
      <c r="H421" s="68"/>
      <c r="I421" s="55"/>
      <c r="J421" s="132"/>
      <c r="K421" s="132"/>
    </row>
    <row r="422" spans="2:11" ht="54">
      <c r="B422" s="78" t="s">
        <v>660</v>
      </c>
      <c r="C422" s="149" t="s">
        <v>661</v>
      </c>
      <c r="D422" s="117" t="s">
        <v>33</v>
      </c>
      <c r="E422" s="150">
        <f>'[1]7. INSTALACIONES ELECTRICAS'!J1319</f>
        <v>1</v>
      </c>
      <c r="F422" s="122">
        <f>'[1]CAP 7'!H5980</f>
        <v>176634</v>
      </c>
      <c r="G422" s="81">
        <f t="shared" si="10"/>
        <v>176634</v>
      </c>
      <c r="H422" s="68"/>
      <c r="I422" s="55"/>
      <c r="J422" s="132"/>
      <c r="K422" s="132"/>
    </row>
    <row r="423" spans="2:11">
      <c r="B423" s="146">
        <v>7.17</v>
      </c>
      <c r="C423" s="92" t="s">
        <v>662</v>
      </c>
      <c r="D423" s="87"/>
      <c r="E423" s="147"/>
      <c r="F423" s="89"/>
      <c r="G423" s="90"/>
      <c r="H423" s="47"/>
      <c r="I423" s="55"/>
      <c r="J423" s="132"/>
      <c r="K423" s="132"/>
    </row>
    <row r="424" spans="2:11">
      <c r="B424" s="146"/>
      <c r="C424" s="92" t="s">
        <v>663</v>
      </c>
      <c r="D424" s="87"/>
      <c r="E424" s="147"/>
      <c r="F424" s="89"/>
      <c r="G424" s="90"/>
      <c r="H424" s="47"/>
      <c r="I424" s="55"/>
      <c r="J424" s="132"/>
      <c r="K424" s="132"/>
    </row>
    <row r="425" spans="2:11" ht="40.5">
      <c r="B425" s="66" t="s">
        <v>664</v>
      </c>
      <c r="C425" s="140" t="s">
        <v>665</v>
      </c>
      <c r="D425" s="50" t="s">
        <v>33</v>
      </c>
      <c r="E425" s="145">
        <f>'[1]7. INSTALACIONES ELECTRICAS'!J1331</f>
        <v>26</v>
      </c>
      <c r="F425" s="52">
        <f>'[1]CAP 7'!H6023</f>
        <v>185277</v>
      </c>
      <c r="G425" s="53">
        <f t="shared" ref="G425:G438" si="11">+ROUND((E425*F425),0)</f>
        <v>4817202</v>
      </c>
      <c r="H425" s="68"/>
      <c r="I425" s="55"/>
      <c r="J425" s="132"/>
      <c r="K425" s="132"/>
    </row>
    <row r="426" spans="2:11" ht="40.5">
      <c r="B426" s="66" t="s">
        <v>666</v>
      </c>
      <c r="C426" s="140" t="s">
        <v>667</v>
      </c>
      <c r="D426" s="50" t="s">
        <v>33</v>
      </c>
      <c r="E426" s="145">
        <f>'[1]7. INSTALACIONES ELECTRICAS'!J1340</f>
        <v>25</v>
      </c>
      <c r="F426" s="52">
        <f>'[1]CAP 7'!H6066</f>
        <v>201811</v>
      </c>
      <c r="G426" s="53">
        <f t="shared" si="11"/>
        <v>5045275</v>
      </c>
      <c r="H426" s="68"/>
      <c r="I426" s="55"/>
      <c r="J426" s="132"/>
      <c r="K426" s="132"/>
    </row>
    <row r="427" spans="2:11">
      <c r="B427" s="66" t="s">
        <v>668</v>
      </c>
      <c r="C427" s="140" t="s">
        <v>669</v>
      </c>
      <c r="D427" s="50" t="s">
        <v>33</v>
      </c>
      <c r="E427" s="145">
        <f>'[1]7. INSTALACIONES ELECTRICAS'!J1349</f>
        <v>25</v>
      </c>
      <c r="F427" s="52">
        <f>'[1]CAP 7'!H6102</f>
        <v>74599</v>
      </c>
      <c r="G427" s="53">
        <f t="shared" si="11"/>
        <v>1864975</v>
      </c>
      <c r="H427" s="68"/>
      <c r="I427" s="55"/>
      <c r="J427" s="132"/>
      <c r="K427" s="132"/>
    </row>
    <row r="428" spans="2:11">
      <c r="B428" s="66" t="s">
        <v>670</v>
      </c>
      <c r="C428" s="140" t="s">
        <v>671</v>
      </c>
      <c r="D428" s="50" t="s">
        <v>33</v>
      </c>
      <c r="E428" s="145">
        <f>'[1]7. INSTALACIONES ELECTRICAS'!J1358</f>
        <v>25</v>
      </c>
      <c r="F428" s="52">
        <f>'[1]CAP 7'!H6137</f>
        <v>56819</v>
      </c>
      <c r="G428" s="53">
        <f t="shared" si="11"/>
        <v>1420475</v>
      </c>
      <c r="H428" s="68"/>
      <c r="I428" s="55"/>
      <c r="J428" s="132"/>
      <c r="K428" s="132"/>
    </row>
    <row r="429" spans="2:11" ht="27">
      <c r="B429" s="66" t="s">
        <v>672</v>
      </c>
      <c r="C429" s="140" t="s">
        <v>673</v>
      </c>
      <c r="D429" s="50" t="s">
        <v>54</v>
      </c>
      <c r="E429" s="145">
        <f>'[1]7. INSTALACIONES ELECTRICAS'!J1368</f>
        <v>1054</v>
      </c>
      <c r="F429" s="52">
        <f>'[1]CAP 7'!H6170</f>
        <v>7297</v>
      </c>
      <c r="G429" s="53">
        <f t="shared" si="11"/>
        <v>7691038</v>
      </c>
      <c r="H429" s="68"/>
      <c r="I429" s="55"/>
      <c r="J429" s="132"/>
      <c r="K429" s="132"/>
    </row>
    <row r="430" spans="2:11">
      <c r="B430" s="66" t="s">
        <v>674</v>
      </c>
      <c r="C430" s="140" t="s">
        <v>675</v>
      </c>
      <c r="D430" s="50" t="s">
        <v>33</v>
      </c>
      <c r="E430" s="145">
        <f>'[1]7. INSTALACIONES ELECTRICAS'!J1377</f>
        <v>51</v>
      </c>
      <c r="F430" s="52">
        <f>'[1]CAP 7'!H6203</f>
        <v>26080</v>
      </c>
      <c r="G430" s="53">
        <f t="shared" si="11"/>
        <v>1330080</v>
      </c>
      <c r="H430" s="68"/>
      <c r="I430" s="55"/>
      <c r="J430" s="132"/>
      <c r="K430" s="132"/>
    </row>
    <row r="431" spans="2:11">
      <c r="B431" s="146"/>
      <c r="C431" s="92" t="s">
        <v>676</v>
      </c>
      <c r="D431" s="87"/>
      <c r="E431" s="147"/>
      <c r="F431" s="89"/>
      <c r="G431" s="90"/>
      <c r="H431" s="47"/>
      <c r="I431" s="55"/>
      <c r="J431" s="132"/>
      <c r="K431" s="132"/>
    </row>
    <row r="432" spans="2:11">
      <c r="B432" s="66" t="s">
        <v>677</v>
      </c>
      <c r="C432" s="140" t="s">
        <v>678</v>
      </c>
      <c r="D432" s="50" t="s">
        <v>33</v>
      </c>
      <c r="E432" s="145">
        <f>'[1]7. INSTALACIONES ELECTRICAS'!J1387</f>
        <v>52</v>
      </c>
      <c r="F432" s="52">
        <f>'[1]CAP 7'!H6236</f>
        <v>20016</v>
      </c>
      <c r="G432" s="53">
        <f t="shared" si="11"/>
        <v>1040832</v>
      </c>
      <c r="H432" s="68"/>
      <c r="I432" s="55"/>
      <c r="J432" s="132"/>
      <c r="K432" s="132"/>
    </row>
    <row r="433" spans="2:11">
      <c r="B433" s="66" t="s">
        <v>679</v>
      </c>
      <c r="C433" s="140" t="s">
        <v>680</v>
      </c>
      <c r="D433" s="50" t="s">
        <v>33</v>
      </c>
      <c r="E433" s="145">
        <f>'[1]7. INSTALACIONES ELECTRICAS'!J1396</f>
        <v>56</v>
      </c>
      <c r="F433" s="52">
        <f>'[1]CAP 7'!H6269</f>
        <v>3523</v>
      </c>
      <c r="G433" s="53">
        <f t="shared" si="11"/>
        <v>197288</v>
      </c>
      <c r="H433" s="68"/>
      <c r="I433" s="55"/>
      <c r="J433" s="132"/>
      <c r="K433" s="132"/>
    </row>
    <row r="434" spans="2:11">
      <c r="B434" s="66" t="s">
        <v>681</v>
      </c>
      <c r="C434" s="140" t="s">
        <v>682</v>
      </c>
      <c r="D434" s="50" t="s">
        <v>33</v>
      </c>
      <c r="E434" s="145">
        <f>'[1]7. INSTALACIONES ELECTRICAS'!J1405</f>
        <v>75</v>
      </c>
      <c r="F434" s="52">
        <f>'[1]CAP 7'!H6302</f>
        <v>3523</v>
      </c>
      <c r="G434" s="53">
        <f t="shared" si="11"/>
        <v>264225</v>
      </c>
      <c r="H434" s="68"/>
      <c r="I434" s="55"/>
      <c r="J434" s="132"/>
      <c r="K434" s="132"/>
    </row>
    <row r="435" spans="2:11">
      <c r="B435" s="66" t="s">
        <v>683</v>
      </c>
      <c r="C435" s="140" t="s">
        <v>684</v>
      </c>
      <c r="D435" s="50" t="s">
        <v>33</v>
      </c>
      <c r="E435" s="145">
        <f>'[1]7. INSTALACIONES ELECTRICAS'!J1414</f>
        <v>77</v>
      </c>
      <c r="F435" s="52">
        <f>'[1]CAP 7'!H6335</f>
        <v>3523</v>
      </c>
      <c r="G435" s="53">
        <f t="shared" si="11"/>
        <v>271271</v>
      </c>
      <c r="H435" s="68"/>
      <c r="I435" s="55"/>
      <c r="J435" s="132"/>
      <c r="K435" s="132"/>
    </row>
    <row r="436" spans="2:11">
      <c r="B436" s="146"/>
      <c r="C436" s="92" t="s">
        <v>685</v>
      </c>
      <c r="D436" s="87"/>
      <c r="E436" s="147"/>
      <c r="F436" s="89"/>
      <c r="G436" s="90"/>
      <c r="H436" s="47"/>
      <c r="I436" s="55"/>
      <c r="J436" s="132"/>
      <c r="K436" s="132"/>
    </row>
    <row r="437" spans="2:11" ht="54">
      <c r="B437" s="66" t="s">
        <v>686</v>
      </c>
      <c r="C437" s="140" t="s">
        <v>687</v>
      </c>
      <c r="D437" s="50" t="s">
        <v>33</v>
      </c>
      <c r="E437" s="145">
        <f>'[1]7. INSTALACIONES ELECTRICAS'!J1424</f>
        <v>22</v>
      </c>
      <c r="F437" s="52">
        <f>'[1]CAP 7'!H6381</f>
        <v>216746</v>
      </c>
      <c r="G437" s="53">
        <f t="shared" si="11"/>
        <v>4768412</v>
      </c>
      <c r="H437" s="68"/>
      <c r="I437" s="55"/>
      <c r="J437" s="132"/>
      <c r="K437" s="132"/>
    </row>
    <row r="438" spans="2:11" ht="40.5">
      <c r="B438" s="66" t="s">
        <v>688</v>
      </c>
      <c r="C438" s="140" t="s">
        <v>689</v>
      </c>
      <c r="D438" s="50" t="s">
        <v>33</v>
      </c>
      <c r="E438" s="145">
        <f>'[1]7. INSTALACIONES ELECTRICAS'!J1433</f>
        <v>27</v>
      </c>
      <c r="F438" s="52">
        <f>'[1]CAP 7'!H6415</f>
        <v>212312</v>
      </c>
      <c r="G438" s="53">
        <f t="shared" si="11"/>
        <v>5732424</v>
      </c>
      <c r="H438" s="68"/>
      <c r="I438" s="55"/>
      <c r="J438" s="132"/>
      <c r="K438" s="132"/>
    </row>
    <row r="439" spans="2:11">
      <c r="B439" s="146">
        <v>7.18</v>
      </c>
      <c r="C439" s="92" t="s">
        <v>690</v>
      </c>
      <c r="D439" s="87"/>
      <c r="E439" s="147"/>
      <c r="F439" s="89"/>
      <c r="G439" s="90"/>
      <c r="H439" s="47"/>
      <c r="I439" s="55"/>
      <c r="J439" s="132"/>
      <c r="K439" s="132"/>
    </row>
    <row r="440" spans="2:11">
      <c r="B440" s="146"/>
      <c r="C440" s="92" t="s">
        <v>691</v>
      </c>
      <c r="D440" s="87"/>
      <c r="E440" s="147"/>
      <c r="F440" s="89"/>
      <c r="G440" s="90"/>
      <c r="H440" s="47"/>
      <c r="I440" s="55"/>
      <c r="J440" s="132"/>
      <c r="K440" s="132"/>
    </row>
    <row r="441" spans="2:11" ht="54">
      <c r="B441" s="66" t="s">
        <v>692</v>
      </c>
      <c r="C441" s="140" t="s">
        <v>693</v>
      </c>
      <c r="D441" s="50" t="s">
        <v>33</v>
      </c>
      <c r="E441" s="145">
        <f>'[1]7. INSTALACIONES ELECTRICAS'!J1445</f>
        <v>347</v>
      </c>
      <c r="F441" s="52">
        <f>'[1]CAP 7'!H6449</f>
        <v>210078</v>
      </c>
      <c r="G441" s="53">
        <f t="shared" ref="G441:G462" si="12">+ROUND((E441*F441),0)</f>
        <v>72897066</v>
      </c>
      <c r="H441" s="68"/>
      <c r="I441" s="55"/>
      <c r="J441" s="132"/>
      <c r="K441" s="132"/>
    </row>
    <row r="442" spans="2:11">
      <c r="B442" s="146"/>
      <c r="C442" s="92" t="s">
        <v>694</v>
      </c>
      <c r="D442" s="87"/>
      <c r="E442" s="147"/>
      <c r="F442" s="89"/>
      <c r="G442" s="90"/>
      <c r="H442" s="47"/>
      <c r="I442" s="55"/>
      <c r="J442" s="132"/>
      <c r="K442" s="132"/>
    </row>
    <row r="443" spans="2:11" ht="54">
      <c r="B443" s="66" t="s">
        <v>695</v>
      </c>
      <c r="C443" s="140" t="s">
        <v>696</v>
      </c>
      <c r="D443" s="50" t="s">
        <v>33</v>
      </c>
      <c r="E443" s="145">
        <f>'[1]7. INSTALACIONES ELECTRICAS'!J1455</f>
        <v>75</v>
      </c>
      <c r="F443" s="52">
        <f>'[1]CAP 7'!H6484</f>
        <v>182074</v>
      </c>
      <c r="G443" s="53">
        <f t="shared" si="12"/>
        <v>13655550</v>
      </c>
      <c r="H443" s="68"/>
      <c r="I443" s="55"/>
      <c r="J443" s="132"/>
      <c r="K443" s="132"/>
    </row>
    <row r="444" spans="2:11">
      <c r="B444" s="146"/>
      <c r="C444" s="92" t="s">
        <v>697</v>
      </c>
      <c r="D444" s="87"/>
      <c r="E444" s="147"/>
      <c r="F444" s="89"/>
      <c r="G444" s="90"/>
      <c r="H444" s="47"/>
      <c r="I444" s="55"/>
      <c r="J444" s="132"/>
      <c r="K444" s="132"/>
    </row>
    <row r="445" spans="2:11" ht="54">
      <c r="B445" s="66" t="s">
        <v>698</v>
      </c>
      <c r="C445" s="140" t="s">
        <v>699</v>
      </c>
      <c r="D445" s="50" t="s">
        <v>33</v>
      </c>
      <c r="E445" s="145">
        <f>'[1]7. INSTALACIONES ELECTRICAS'!J1465</f>
        <v>27</v>
      </c>
      <c r="F445" s="52">
        <f>'[1]CAP 7'!H6521</f>
        <v>125051</v>
      </c>
      <c r="G445" s="53">
        <f t="shared" si="12"/>
        <v>3376377</v>
      </c>
      <c r="H445" s="68"/>
      <c r="I445" s="55"/>
      <c r="J445" s="132"/>
      <c r="K445" s="132"/>
    </row>
    <row r="446" spans="2:11">
      <c r="B446" s="146"/>
      <c r="C446" s="92" t="s">
        <v>700</v>
      </c>
      <c r="D446" s="87"/>
      <c r="E446" s="147"/>
      <c r="F446" s="89"/>
      <c r="G446" s="90"/>
      <c r="H446" s="47"/>
      <c r="I446" s="55"/>
      <c r="J446" s="132"/>
      <c r="K446" s="132"/>
    </row>
    <row r="447" spans="2:11" ht="27">
      <c r="B447" s="66" t="s">
        <v>701</v>
      </c>
      <c r="C447" s="140" t="s">
        <v>702</v>
      </c>
      <c r="D447" s="50" t="s">
        <v>33</v>
      </c>
      <c r="E447" s="145">
        <f>'[1]7. INSTALACIONES ELECTRICAS'!J1475</f>
        <v>47</v>
      </c>
      <c r="F447" s="52">
        <f>'[1]CAP 7'!H6558</f>
        <v>51857</v>
      </c>
      <c r="G447" s="53">
        <f t="shared" si="12"/>
        <v>2437279</v>
      </c>
      <c r="H447" s="68"/>
      <c r="I447" s="55"/>
      <c r="J447" s="132"/>
      <c r="K447" s="132"/>
    </row>
    <row r="448" spans="2:11">
      <c r="B448" s="146"/>
      <c r="C448" s="92" t="s">
        <v>703</v>
      </c>
      <c r="D448" s="87"/>
      <c r="E448" s="147"/>
      <c r="F448" s="89"/>
      <c r="G448" s="90"/>
      <c r="H448" s="47"/>
      <c r="I448" s="55"/>
      <c r="J448" s="132"/>
      <c r="K448" s="132"/>
    </row>
    <row r="449" spans="2:11" ht="27">
      <c r="B449" s="66" t="s">
        <v>704</v>
      </c>
      <c r="C449" s="140" t="s">
        <v>705</v>
      </c>
      <c r="D449" s="50" t="s">
        <v>33</v>
      </c>
      <c r="E449" s="145">
        <f>'[1]7. INSTALACIONES ELECTRICAS'!J1485</f>
        <v>17</v>
      </c>
      <c r="F449" s="52">
        <f>'[1]CAP 7'!H6595</f>
        <v>49317</v>
      </c>
      <c r="G449" s="53">
        <f t="shared" si="12"/>
        <v>838389</v>
      </c>
      <c r="H449" s="68"/>
      <c r="I449" s="55"/>
      <c r="J449" s="132"/>
      <c r="K449" s="132"/>
    </row>
    <row r="450" spans="2:11">
      <c r="B450" s="146"/>
      <c r="C450" s="92" t="s">
        <v>706</v>
      </c>
      <c r="D450" s="87"/>
      <c r="E450" s="147"/>
      <c r="F450" s="89"/>
      <c r="G450" s="89"/>
      <c r="H450" s="47"/>
      <c r="I450" s="55"/>
      <c r="J450" s="132"/>
      <c r="K450" s="132"/>
    </row>
    <row r="451" spans="2:11" ht="40.5">
      <c r="B451" s="66" t="s">
        <v>707</v>
      </c>
      <c r="C451" s="140" t="s">
        <v>708</v>
      </c>
      <c r="D451" s="50" t="s">
        <v>33</v>
      </c>
      <c r="E451" s="145">
        <f>'[1]7. INSTALACIONES ELECTRICAS'!J1495</f>
        <v>29</v>
      </c>
      <c r="F451" s="52">
        <f>'[1]CAP 7'!H6632</f>
        <v>125051</v>
      </c>
      <c r="G451" s="53">
        <f t="shared" si="12"/>
        <v>3626479</v>
      </c>
      <c r="H451" s="68"/>
      <c r="I451" s="55"/>
      <c r="J451" s="132"/>
      <c r="K451" s="132"/>
    </row>
    <row r="452" spans="2:11">
      <c r="B452" s="146"/>
      <c r="C452" s="92" t="s">
        <v>709</v>
      </c>
      <c r="D452" s="87"/>
      <c r="E452" s="147"/>
      <c r="F452" s="89"/>
      <c r="G452" s="89"/>
      <c r="H452" s="47"/>
      <c r="I452" s="55"/>
      <c r="J452" s="132"/>
      <c r="K452" s="132"/>
    </row>
    <row r="453" spans="2:11" ht="27">
      <c r="B453" s="66" t="s">
        <v>710</v>
      </c>
      <c r="C453" s="140" t="s">
        <v>711</v>
      </c>
      <c r="D453" s="50" t="s">
        <v>33</v>
      </c>
      <c r="E453" s="145">
        <f>'[1]7. INSTALACIONES ELECTRICAS'!J1505</f>
        <v>14</v>
      </c>
      <c r="F453" s="52">
        <f>'[1]CAP 7'!H6664</f>
        <v>108287</v>
      </c>
      <c r="G453" s="53">
        <f t="shared" si="12"/>
        <v>1516018</v>
      </c>
      <c r="H453" s="68"/>
      <c r="I453" s="55"/>
      <c r="J453" s="132"/>
      <c r="K453" s="132"/>
    </row>
    <row r="454" spans="2:11">
      <c r="B454" s="146"/>
      <c r="C454" s="92" t="s">
        <v>712</v>
      </c>
      <c r="D454" s="87"/>
      <c r="E454" s="147"/>
      <c r="F454" s="89"/>
      <c r="G454" s="89"/>
      <c r="H454" s="47"/>
      <c r="I454" s="55"/>
      <c r="J454" s="132"/>
      <c r="K454" s="132"/>
    </row>
    <row r="455" spans="2:11" ht="40.5">
      <c r="B455" s="66" t="s">
        <v>713</v>
      </c>
      <c r="C455" s="140" t="s">
        <v>714</v>
      </c>
      <c r="D455" s="50" t="s">
        <v>33</v>
      </c>
      <c r="E455" s="145">
        <f>'[1]7. INSTALACIONES ELECTRICAS'!J1515</f>
        <v>58</v>
      </c>
      <c r="F455" s="52">
        <f>'[1]CAP 7'!H6701</f>
        <v>154388</v>
      </c>
      <c r="G455" s="53">
        <f t="shared" si="12"/>
        <v>8954504</v>
      </c>
      <c r="H455" s="68"/>
      <c r="I455" s="55"/>
      <c r="J455" s="132"/>
      <c r="K455" s="132"/>
    </row>
    <row r="456" spans="2:11">
      <c r="B456" s="146"/>
      <c r="C456" s="92" t="s">
        <v>715</v>
      </c>
      <c r="D456" s="87"/>
      <c r="E456" s="147"/>
      <c r="F456" s="89"/>
      <c r="G456" s="90"/>
      <c r="H456" s="47"/>
      <c r="I456" s="55"/>
      <c r="J456" s="132"/>
      <c r="K456" s="132"/>
    </row>
    <row r="457" spans="2:11" ht="27">
      <c r="B457" s="66" t="s">
        <v>716</v>
      </c>
      <c r="C457" s="140" t="s">
        <v>717</v>
      </c>
      <c r="D457" s="50" t="s">
        <v>33</v>
      </c>
      <c r="E457" s="145">
        <f>'[1]7. INSTALACIONES ELECTRICAS'!J1525</f>
        <v>42</v>
      </c>
      <c r="F457" s="52">
        <f>'[1]CAP 7'!H6738</f>
        <v>85808</v>
      </c>
      <c r="G457" s="53">
        <f t="shared" si="12"/>
        <v>3603936</v>
      </c>
      <c r="H457" s="68"/>
      <c r="I457" s="55"/>
      <c r="J457" s="132"/>
      <c r="K457" s="132"/>
    </row>
    <row r="458" spans="2:11">
      <c r="B458" s="146"/>
      <c r="C458" s="92" t="s">
        <v>718</v>
      </c>
      <c r="D458" s="87"/>
      <c r="E458" s="147"/>
      <c r="F458" s="89"/>
      <c r="G458" s="90"/>
      <c r="H458" s="47"/>
      <c r="I458" s="55"/>
      <c r="J458" s="132"/>
      <c r="K458" s="132"/>
    </row>
    <row r="459" spans="2:11" ht="67.5">
      <c r="B459" s="66" t="s">
        <v>719</v>
      </c>
      <c r="C459" s="140" t="s">
        <v>720</v>
      </c>
      <c r="D459" s="50" t="s">
        <v>33</v>
      </c>
      <c r="E459" s="145">
        <f>'[1]7. INSTALACIONES ELECTRICAS'!J1535</f>
        <v>30</v>
      </c>
      <c r="F459" s="52">
        <f>'[1]CAP 7'!H6770</f>
        <v>879158</v>
      </c>
      <c r="G459" s="53">
        <f t="shared" si="12"/>
        <v>26374740</v>
      </c>
      <c r="H459" s="68"/>
      <c r="I459" s="55"/>
      <c r="J459" s="132"/>
      <c r="K459" s="132"/>
    </row>
    <row r="460" spans="2:11">
      <c r="B460" s="146"/>
      <c r="C460" s="92" t="s">
        <v>721</v>
      </c>
      <c r="D460" s="87"/>
      <c r="E460" s="147"/>
      <c r="F460" s="89"/>
      <c r="G460" s="90"/>
      <c r="H460" s="47"/>
      <c r="I460" s="55"/>
      <c r="J460" s="132"/>
      <c r="K460" s="132"/>
    </row>
    <row r="461" spans="2:11" ht="121.5">
      <c r="B461" s="66" t="s">
        <v>722</v>
      </c>
      <c r="C461" s="140" t="s">
        <v>723</v>
      </c>
      <c r="D461" s="50" t="s">
        <v>33</v>
      </c>
      <c r="E461" s="145">
        <f>'[1]7. INSTALACIONES ELECTRICAS'!J1545</f>
        <v>22</v>
      </c>
      <c r="F461" s="52">
        <f>'[1]CAP 7'!H6843</f>
        <v>1246056</v>
      </c>
      <c r="G461" s="53">
        <f t="shared" si="12"/>
        <v>27413232</v>
      </c>
      <c r="H461" s="68"/>
      <c r="I461" s="55"/>
      <c r="J461" s="132"/>
      <c r="K461" s="132"/>
    </row>
    <row r="462" spans="2:11" ht="121.5">
      <c r="B462" s="66" t="s">
        <v>724</v>
      </c>
      <c r="C462" s="140" t="s">
        <v>725</v>
      </c>
      <c r="D462" s="50" t="s">
        <v>33</v>
      </c>
      <c r="E462" s="145">
        <f>'[1]7. INSTALACIONES ELECTRICAS'!J1554</f>
        <v>4</v>
      </c>
      <c r="F462" s="52">
        <f>'[1]CAP 7'!H6893</f>
        <v>1424691</v>
      </c>
      <c r="G462" s="53">
        <f t="shared" si="12"/>
        <v>5698764</v>
      </c>
      <c r="H462" s="68"/>
      <c r="I462" s="55"/>
      <c r="J462" s="132"/>
      <c r="K462" s="132"/>
    </row>
    <row r="463" spans="2:11" ht="28.5" customHeight="1">
      <c r="B463" s="93">
        <v>8</v>
      </c>
      <c r="C463" s="86" t="s">
        <v>726</v>
      </c>
      <c r="D463" s="94"/>
      <c r="E463" s="95"/>
      <c r="F463" s="89"/>
      <c r="G463" s="90"/>
      <c r="H463" s="47">
        <f>SUM(G465:G534)</f>
        <v>2370047439</v>
      </c>
      <c r="I463" s="55"/>
    </row>
    <row r="464" spans="2:11">
      <c r="B464" s="93"/>
      <c r="C464" s="86" t="s">
        <v>727</v>
      </c>
      <c r="D464" s="94"/>
      <c r="E464" s="95"/>
      <c r="F464" s="89"/>
      <c r="G464" s="90"/>
      <c r="H464" s="47"/>
      <c r="I464" s="55"/>
    </row>
    <row r="465" spans="2:9" ht="30" customHeight="1">
      <c r="B465" s="91" t="s">
        <v>728</v>
      </c>
      <c r="C465" s="92" t="s">
        <v>729</v>
      </c>
      <c r="D465" s="87"/>
      <c r="E465" s="88"/>
      <c r="F465" s="89"/>
      <c r="G465" s="90"/>
      <c r="H465" s="47"/>
      <c r="I465" s="55"/>
    </row>
    <row r="466" spans="2:9">
      <c r="B466" s="66" t="s">
        <v>730</v>
      </c>
      <c r="C466" s="49" t="s">
        <v>731</v>
      </c>
      <c r="D466" s="50" t="s">
        <v>33</v>
      </c>
      <c r="E466" s="145">
        <f>'[1]8. INSTALACIONES MECANICAS'!J11</f>
        <v>6</v>
      </c>
      <c r="F466" s="52">
        <f>cd8.1.1</f>
        <v>6638558.1158349961</v>
      </c>
      <c r="G466" s="53">
        <f t="shared" ref="G466:G472" si="13">+ROUND((E466*F466),0)</f>
        <v>39831349</v>
      </c>
      <c r="H466" s="68"/>
      <c r="I466" s="55"/>
    </row>
    <row r="467" spans="2:9">
      <c r="B467" s="66" t="s">
        <v>732</v>
      </c>
      <c r="C467" s="49" t="s">
        <v>733</v>
      </c>
      <c r="D467" s="50" t="s">
        <v>33</v>
      </c>
      <c r="E467" s="145">
        <f>'[1]8. INSTALACIONES MECANICAS'!J20</f>
        <v>3</v>
      </c>
      <c r="F467" s="52">
        <f>cd8.1.2</f>
        <v>4713805.0661625005</v>
      </c>
      <c r="G467" s="53">
        <f t="shared" si="13"/>
        <v>14141415</v>
      </c>
      <c r="H467" s="68"/>
      <c r="I467" s="55"/>
    </row>
    <row r="468" spans="2:9">
      <c r="B468" s="66" t="s">
        <v>734</v>
      </c>
      <c r="C468" s="49" t="s">
        <v>735</v>
      </c>
      <c r="D468" s="50" t="s">
        <v>54</v>
      </c>
      <c r="E468" s="145">
        <f>'[1]8. INSTALACIONES MECANICAS'!J29</f>
        <v>270</v>
      </c>
      <c r="F468" s="52">
        <f>cd8.1.4</f>
        <v>139035.071975625</v>
      </c>
      <c r="G468" s="53">
        <f t="shared" si="13"/>
        <v>37539469</v>
      </c>
      <c r="H468" s="68"/>
      <c r="I468" s="55"/>
    </row>
    <row r="469" spans="2:9">
      <c r="B469" s="66" t="s">
        <v>736</v>
      </c>
      <c r="C469" s="49" t="s">
        <v>737</v>
      </c>
      <c r="D469" s="50" t="s">
        <v>33</v>
      </c>
      <c r="E469" s="145">
        <f>'[1]8. INSTALACIONES MECANICAS'!J38</f>
        <v>36</v>
      </c>
      <c r="F469" s="52">
        <f>cd8.1.5</f>
        <v>225912.33157499999</v>
      </c>
      <c r="G469" s="53">
        <f t="shared" si="13"/>
        <v>8132844</v>
      </c>
      <c r="H469" s="68"/>
      <c r="I469" s="55"/>
    </row>
    <row r="470" spans="2:9">
      <c r="B470" s="66" t="s">
        <v>738</v>
      </c>
      <c r="C470" s="49" t="s">
        <v>739</v>
      </c>
      <c r="D470" s="50" t="s">
        <v>33</v>
      </c>
      <c r="E470" s="145">
        <f>'[1]8. INSTALACIONES MECANICAS'!J47</f>
        <v>6</v>
      </c>
      <c r="F470" s="52">
        <f>cd8.1.6</f>
        <v>1388982.3198250001</v>
      </c>
      <c r="G470" s="53">
        <f t="shared" si="13"/>
        <v>8333894</v>
      </c>
      <c r="H470" s="68"/>
      <c r="I470" s="55"/>
    </row>
    <row r="471" spans="2:9">
      <c r="B471" s="66" t="s">
        <v>740</v>
      </c>
      <c r="C471" s="49" t="s">
        <v>741</v>
      </c>
      <c r="D471" s="50" t="s">
        <v>54</v>
      </c>
      <c r="E471" s="145">
        <f>'[1]8. INSTALACIONES MECANICAS'!J56</f>
        <v>165</v>
      </c>
      <c r="F471" s="52">
        <f>cd8.1.7</f>
        <v>139026.10732500002</v>
      </c>
      <c r="G471" s="53">
        <f t="shared" si="13"/>
        <v>22939308</v>
      </c>
      <c r="H471" s="68"/>
      <c r="I471" s="55"/>
    </row>
    <row r="472" spans="2:9" ht="22.5" customHeight="1">
      <c r="B472" s="66" t="s">
        <v>742</v>
      </c>
      <c r="C472" s="49" t="s">
        <v>743</v>
      </c>
      <c r="D472" s="50" t="s">
        <v>33</v>
      </c>
      <c r="E472" s="145">
        <f>'[1]8. INSTALACIONES MECANICAS'!J65</f>
        <v>24</v>
      </c>
      <c r="F472" s="52">
        <f>cd8.1.8</f>
        <v>208527.7047</v>
      </c>
      <c r="G472" s="53">
        <f t="shared" si="13"/>
        <v>5004665</v>
      </c>
      <c r="H472" s="68"/>
      <c r="I472" s="55"/>
    </row>
    <row r="473" spans="2:9">
      <c r="B473" s="151">
        <v>8.1999999999999993</v>
      </c>
      <c r="C473" s="92" t="s">
        <v>744</v>
      </c>
      <c r="D473" s="94"/>
      <c r="E473" s="95"/>
      <c r="F473" s="106"/>
      <c r="G473" s="90"/>
      <c r="H473" s="47"/>
      <c r="I473" s="55"/>
    </row>
    <row r="474" spans="2:9" ht="21.75" customHeight="1">
      <c r="B474" s="66" t="s">
        <v>745</v>
      </c>
      <c r="C474" s="49" t="s">
        <v>746</v>
      </c>
      <c r="D474" s="50" t="s">
        <v>33</v>
      </c>
      <c r="E474" s="145">
        <f>'[1]8. INSTALACIONES MECANICAS'!J77</f>
        <v>3</v>
      </c>
      <c r="F474" s="52">
        <f>cd8.2.1</f>
        <v>66988036.480245508</v>
      </c>
      <c r="G474" s="53">
        <f t="shared" ref="G474:G482" si="14">+ROUND((E474*F474),0)</f>
        <v>200964109</v>
      </c>
      <c r="H474" s="68"/>
      <c r="I474" s="55"/>
    </row>
    <row r="475" spans="2:9">
      <c r="B475" s="66" t="s">
        <v>747</v>
      </c>
      <c r="C475" s="49" t="s">
        <v>748</v>
      </c>
      <c r="D475" s="50" t="s">
        <v>54</v>
      </c>
      <c r="E475" s="51">
        <f>'[1]8. INSTALACIONES MECANICAS'!J86</f>
        <v>366</v>
      </c>
      <c r="F475" s="52">
        <f>cd8.2.3</f>
        <v>212002.41982500002</v>
      </c>
      <c r="G475" s="53">
        <f t="shared" si="14"/>
        <v>77592886</v>
      </c>
      <c r="H475" s="68"/>
      <c r="I475" s="152"/>
    </row>
    <row r="476" spans="2:9">
      <c r="B476" s="66" t="s">
        <v>749</v>
      </c>
      <c r="C476" s="49" t="s">
        <v>750</v>
      </c>
      <c r="D476" s="50" t="s">
        <v>33</v>
      </c>
      <c r="E476" s="51">
        <f>'[1]8. INSTALACIONES MECANICAS'!J95</f>
        <v>48</v>
      </c>
      <c r="F476" s="52">
        <f>cd8.2.4</f>
        <v>243527.35470000003</v>
      </c>
      <c r="G476" s="53">
        <f t="shared" si="14"/>
        <v>11689313</v>
      </c>
      <c r="H476" s="68"/>
      <c r="I476" s="152"/>
    </row>
    <row r="477" spans="2:9">
      <c r="B477" s="66" t="s">
        <v>751</v>
      </c>
      <c r="C477" s="49" t="s">
        <v>752</v>
      </c>
      <c r="D477" s="50" t="s">
        <v>33</v>
      </c>
      <c r="E477" s="51">
        <f>'[1]8. INSTALACIONES MECANICAS'!J104</f>
        <v>6</v>
      </c>
      <c r="F477" s="52">
        <f>cd8.2.5</f>
        <v>260653.64220000003</v>
      </c>
      <c r="G477" s="53">
        <f t="shared" si="14"/>
        <v>1563922</v>
      </c>
      <c r="H477" s="68"/>
      <c r="I477" s="55"/>
    </row>
    <row r="478" spans="2:9">
      <c r="B478" s="66" t="s">
        <v>753</v>
      </c>
      <c r="C478" s="49" t="s">
        <v>754</v>
      </c>
      <c r="D478" s="50" t="s">
        <v>54</v>
      </c>
      <c r="E478" s="51">
        <f>'[1]8. INSTALACIONES MECANICAS'!J113</f>
        <v>120</v>
      </c>
      <c r="F478" s="52">
        <f>cd8.2.6</f>
        <v>60837.201074999997</v>
      </c>
      <c r="G478" s="53">
        <f t="shared" si="14"/>
        <v>7300464</v>
      </c>
      <c r="H478" s="68"/>
      <c r="I478" s="152"/>
    </row>
    <row r="479" spans="2:9">
      <c r="B479" s="66" t="s">
        <v>755</v>
      </c>
      <c r="C479" s="49" t="s">
        <v>756</v>
      </c>
      <c r="D479" s="50" t="s">
        <v>33</v>
      </c>
      <c r="E479" s="51">
        <f>'[1]8. INSTALACIONES MECANICAS'!J122</f>
        <v>3</v>
      </c>
      <c r="F479" s="52">
        <f>cd8.2.7</f>
        <v>364905.5172</v>
      </c>
      <c r="G479" s="53">
        <f t="shared" si="14"/>
        <v>1094717</v>
      </c>
      <c r="H479" s="68"/>
      <c r="I479" s="152"/>
    </row>
    <row r="480" spans="2:9">
      <c r="B480" s="66" t="s">
        <v>757</v>
      </c>
      <c r="C480" s="49" t="s">
        <v>758</v>
      </c>
      <c r="D480" s="50" t="s">
        <v>33</v>
      </c>
      <c r="E480" s="51">
        <f>'[1]8. INSTALACIONES MECANICAS'!J131</f>
        <v>30</v>
      </c>
      <c r="F480" s="52">
        <f>cd8.2.8</f>
        <v>212002.41982500002</v>
      </c>
      <c r="G480" s="53">
        <f t="shared" si="14"/>
        <v>6360073</v>
      </c>
      <c r="H480" s="68"/>
      <c r="I480" s="152"/>
    </row>
    <row r="481" spans="2:9">
      <c r="B481" s="66" t="s">
        <v>759</v>
      </c>
      <c r="C481" s="49" t="s">
        <v>760</v>
      </c>
      <c r="D481" s="50" t="s">
        <v>33</v>
      </c>
      <c r="E481" s="51">
        <f>'[1]8. INSTALACIONES MECANICAS'!J140</f>
        <v>3</v>
      </c>
      <c r="F481" s="52">
        <f>cd8.2.9</f>
        <v>3430671.2649900001</v>
      </c>
      <c r="G481" s="53">
        <f t="shared" si="14"/>
        <v>10292014</v>
      </c>
      <c r="H481" s="68"/>
      <c r="I481" s="152"/>
    </row>
    <row r="482" spans="2:9" ht="27" customHeight="1">
      <c r="B482" s="66" t="s">
        <v>761</v>
      </c>
      <c r="C482" s="49" t="s">
        <v>762</v>
      </c>
      <c r="D482" s="50" t="s">
        <v>54</v>
      </c>
      <c r="E482" s="51">
        <f>'[1]8. INSTALACIONES MECANICAS'!J149</f>
        <v>30</v>
      </c>
      <c r="F482" s="52">
        <f>cd8.2.10</f>
        <v>48571.101074999999</v>
      </c>
      <c r="G482" s="53">
        <f t="shared" si="14"/>
        <v>1457133</v>
      </c>
      <c r="H482" s="68"/>
      <c r="I482" s="152"/>
    </row>
    <row r="483" spans="2:9">
      <c r="B483" s="93"/>
      <c r="C483" s="86" t="s">
        <v>113</v>
      </c>
      <c r="D483" s="94"/>
      <c r="E483" s="95"/>
      <c r="F483" s="89"/>
      <c r="G483" s="90"/>
      <c r="H483" s="47"/>
      <c r="I483" s="55"/>
    </row>
    <row r="484" spans="2:9" ht="26.25" customHeight="1">
      <c r="B484" s="91" t="s">
        <v>728</v>
      </c>
      <c r="C484" s="92" t="s">
        <v>729</v>
      </c>
      <c r="D484" s="87"/>
      <c r="E484" s="88"/>
      <c r="F484" s="89"/>
      <c r="G484" s="90"/>
      <c r="H484" s="47"/>
      <c r="I484" s="55"/>
    </row>
    <row r="485" spans="2:9">
      <c r="B485" s="66" t="s">
        <v>730</v>
      </c>
      <c r="C485" s="49" t="s">
        <v>731</v>
      </c>
      <c r="D485" s="50" t="s">
        <v>33</v>
      </c>
      <c r="E485" s="145">
        <f>'[1]8. INSTALACIONES MECANICAS'!J163</f>
        <v>2</v>
      </c>
      <c r="F485" s="52">
        <f>cd8.1.1</f>
        <v>6638558.1158349961</v>
      </c>
      <c r="G485" s="53">
        <f t="shared" ref="G485:G491" si="15">+ROUND((E485*F485),0)</f>
        <v>13277116</v>
      </c>
      <c r="H485" s="68"/>
      <c r="I485" s="152"/>
    </row>
    <row r="486" spans="2:9">
      <c r="B486" s="66" t="s">
        <v>732</v>
      </c>
      <c r="C486" s="49" t="s">
        <v>733</v>
      </c>
      <c r="D486" s="50" t="s">
        <v>33</v>
      </c>
      <c r="E486" s="145">
        <f>'[1]8. INSTALACIONES MECANICAS'!J172</f>
        <v>9</v>
      </c>
      <c r="F486" s="52">
        <f>cd8.1.2</f>
        <v>4713805.0661625005</v>
      </c>
      <c r="G486" s="53">
        <f t="shared" si="15"/>
        <v>42424246</v>
      </c>
      <c r="H486" s="68"/>
      <c r="I486" s="152"/>
    </row>
    <row r="487" spans="2:9">
      <c r="B487" s="66" t="s">
        <v>763</v>
      </c>
      <c r="C487" s="49" t="s">
        <v>764</v>
      </c>
      <c r="D487" s="50" t="s">
        <v>33</v>
      </c>
      <c r="E487" s="145">
        <f>'[1]8. INSTALACIONES MECANICAS'!J181</f>
        <v>4</v>
      </c>
      <c r="F487" s="52">
        <f>cd8.1.3</f>
        <v>3318694.5213240003</v>
      </c>
      <c r="G487" s="53">
        <f t="shared" si="15"/>
        <v>13274778</v>
      </c>
      <c r="H487" s="68"/>
      <c r="I487" s="152"/>
    </row>
    <row r="488" spans="2:9">
      <c r="B488" s="66" t="s">
        <v>734</v>
      </c>
      <c r="C488" s="49" t="s">
        <v>735</v>
      </c>
      <c r="D488" s="50" t="s">
        <v>54</v>
      </c>
      <c r="E488" s="145">
        <f>'[1]8. INSTALACIONES MECANICAS'!J192</f>
        <v>248</v>
      </c>
      <c r="F488" s="52">
        <f>cd8.1.4</f>
        <v>139035.071975625</v>
      </c>
      <c r="G488" s="53">
        <f t="shared" si="15"/>
        <v>34480698</v>
      </c>
      <c r="H488" s="68"/>
      <c r="I488" s="152"/>
    </row>
    <row r="489" spans="2:9">
      <c r="B489" s="66" t="s">
        <v>736</v>
      </c>
      <c r="C489" s="49" t="s">
        <v>737</v>
      </c>
      <c r="D489" s="50" t="s">
        <v>33</v>
      </c>
      <c r="E489" s="145">
        <f>'[1]8. INSTALACIONES MECANICAS'!J201</f>
        <v>50</v>
      </c>
      <c r="F489" s="52">
        <f>cd8.1.5</f>
        <v>225912.33157499999</v>
      </c>
      <c r="G489" s="53">
        <f t="shared" si="15"/>
        <v>11295617</v>
      </c>
      <c r="H489" s="68"/>
      <c r="I489" s="152"/>
    </row>
    <row r="490" spans="2:9">
      <c r="B490" s="66" t="s">
        <v>738</v>
      </c>
      <c r="C490" s="49" t="s">
        <v>739</v>
      </c>
      <c r="D490" s="50" t="s">
        <v>33</v>
      </c>
      <c r="E490" s="145">
        <f>'[1]8. INSTALACIONES MECANICAS'!J210</f>
        <v>10</v>
      </c>
      <c r="F490" s="52">
        <f>cd8.1.6</f>
        <v>1388982.3198250001</v>
      </c>
      <c r="G490" s="53">
        <f t="shared" si="15"/>
        <v>13889823</v>
      </c>
      <c r="H490" s="68"/>
      <c r="I490" s="152"/>
    </row>
    <row r="491" spans="2:9">
      <c r="B491" s="66" t="s">
        <v>740</v>
      </c>
      <c r="C491" s="49" t="s">
        <v>741</v>
      </c>
      <c r="D491" s="50" t="s">
        <v>54</v>
      </c>
      <c r="E491" s="145">
        <f>'[1]8. INSTALACIONES MECANICAS'!J219</f>
        <v>147</v>
      </c>
      <c r="F491" s="52">
        <f>cd8.1.7</f>
        <v>139026.10732500002</v>
      </c>
      <c r="G491" s="53">
        <f t="shared" si="15"/>
        <v>20436838</v>
      </c>
      <c r="H491" s="68"/>
      <c r="I491" s="152"/>
    </row>
    <row r="492" spans="2:9" ht="16.5" customHeight="1">
      <c r="B492" s="66" t="s">
        <v>742</v>
      </c>
      <c r="C492" s="49" t="s">
        <v>743</v>
      </c>
      <c r="D492" s="50" t="s">
        <v>33</v>
      </c>
      <c r="E492" s="145">
        <f>'[1]8. INSTALACIONES MECANICAS'!J228</f>
        <v>28</v>
      </c>
      <c r="F492" s="52">
        <f>cd8.1.8</f>
        <v>208527.7047</v>
      </c>
      <c r="G492" s="53">
        <f>+ROUND((E492*F492),0)</f>
        <v>5838776</v>
      </c>
      <c r="H492" s="68"/>
      <c r="I492" s="152"/>
    </row>
    <row r="493" spans="2:9">
      <c r="B493" s="151">
        <v>8.1999999999999993</v>
      </c>
      <c r="C493" s="92" t="s">
        <v>744</v>
      </c>
      <c r="D493" s="94"/>
      <c r="E493" s="95"/>
      <c r="F493" s="106"/>
      <c r="G493" s="90"/>
      <c r="H493" s="47"/>
      <c r="I493" s="152"/>
    </row>
    <row r="494" spans="2:9" ht="17.25" customHeight="1">
      <c r="B494" s="66" t="s">
        <v>745</v>
      </c>
      <c r="C494" s="109" t="s">
        <v>746</v>
      </c>
      <c r="D494" s="50" t="s">
        <v>33</v>
      </c>
      <c r="E494" s="51">
        <f>'[1]8. INSTALACIONES MECANICAS'!J239</f>
        <v>4</v>
      </c>
      <c r="F494" s="52">
        <f>cd8.2.1</f>
        <v>66988036.480245508</v>
      </c>
      <c r="G494" s="53">
        <f t="shared" ref="G494:G514" si="16">+ROUND((E494*F494),0)</f>
        <v>267952146</v>
      </c>
      <c r="H494" s="68"/>
      <c r="I494" s="152"/>
    </row>
    <row r="495" spans="2:9" ht="17.25" customHeight="1">
      <c r="B495" s="66" t="s">
        <v>765</v>
      </c>
      <c r="C495" s="109" t="s">
        <v>766</v>
      </c>
      <c r="D495" s="50" t="s">
        <v>33</v>
      </c>
      <c r="E495" s="51">
        <f>'[1]8. INSTALACIONES MECANICAS'!J248</f>
        <v>1</v>
      </c>
      <c r="F495" s="52">
        <f>cd8.2.2</f>
        <v>62974832.678309999</v>
      </c>
      <c r="G495" s="53">
        <f t="shared" si="16"/>
        <v>62974833</v>
      </c>
      <c r="H495" s="68"/>
      <c r="I495" s="152"/>
    </row>
    <row r="496" spans="2:9">
      <c r="B496" s="66" t="s">
        <v>747</v>
      </c>
      <c r="C496" s="109" t="s">
        <v>748</v>
      </c>
      <c r="D496" s="50" t="s">
        <v>54</v>
      </c>
      <c r="E496" s="51">
        <f>'[1]8. INSTALACIONES MECANICAS'!J258</f>
        <v>283</v>
      </c>
      <c r="F496" s="52">
        <f>cd8.2.3</f>
        <v>212002.41982500002</v>
      </c>
      <c r="G496" s="53">
        <f t="shared" si="16"/>
        <v>59996685</v>
      </c>
      <c r="H496" s="68"/>
      <c r="I496" s="152"/>
    </row>
    <row r="497" spans="2:9">
      <c r="B497" s="66" t="s">
        <v>749</v>
      </c>
      <c r="C497" s="109" t="s">
        <v>750</v>
      </c>
      <c r="D497" s="50" t="s">
        <v>33</v>
      </c>
      <c r="E497" s="51">
        <f>'[1]8. INSTALACIONES MECANICAS'!J267</f>
        <v>44</v>
      </c>
      <c r="F497" s="52">
        <f>cd8.2.4</f>
        <v>243527.35470000003</v>
      </c>
      <c r="G497" s="53">
        <f t="shared" si="16"/>
        <v>10715204</v>
      </c>
      <c r="H497" s="68"/>
      <c r="I497" s="55"/>
    </row>
    <row r="498" spans="2:9">
      <c r="B498" s="66" t="s">
        <v>751</v>
      </c>
      <c r="C498" s="109" t="s">
        <v>752</v>
      </c>
      <c r="D498" s="50" t="s">
        <v>33</v>
      </c>
      <c r="E498" s="51">
        <f>'[1]8. INSTALACIONES MECANICAS'!J276</f>
        <v>10</v>
      </c>
      <c r="F498" s="52">
        <f>cd8.2.5</f>
        <v>260653.64220000003</v>
      </c>
      <c r="G498" s="53">
        <f t="shared" si="16"/>
        <v>2606536</v>
      </c>
      <c r="H498" s="68"/>
      <c r="I498" s="55"/>
    </row>
    <row r="499" spans="2:9">
      <c r="B499" s="66" t="s">
        <v>753</v>
      </c>
      <c r="C499" s="109" t="s">
        <v>754</v>
      </c>
      <c r="D499" s="50" t="s">
        <v>54</v>
      </c>
      <c r="E499" s="51">
        <f>'[1]8. INSTALACIONES MECANICAS'!J285</f>
        <v>50</v>
      </c>
      <c r="F499" s="52">
        <f>cd8.2.6</f>
        <v>60837.201074999997</v>
      </c>
      <c r="G499" s="53">
        <f t="shared" si="16"/>
        <v>3041860</v>
      </c>
      <c r="H499" s="68"/>
      <c r="I499" s="152"/>
    </row>
    <row r="500" spans="2:9">
      <c r="B500" s="66" t="s">
        <v>755</v>
      </c>
      <c r="C500" s="109" t="s">
        <v>767</v>
      </c>
      <c r="D500" s="50" t="s">
        <v>33</v>
      </c>
      <c r="E500" s="51">
        <f>'[1]8. INSTALACIONES MECANICAS'!J294</f>
        <v>5</v>
      </c>
      <c r="F500" s="52">
        <f>cd8.2.7</f>
        <v>364905.5172</v>
      </c>
      <c r="G500" s="53">
        <f t="shared" si="16"/>
        <v>1824528</v>
      </c>
      <c r="H500" s="68"/>
      <c r="I500" s="55"/>
    </row>
    <row r="501" spans="2:9">
      <c r="B501" s="66" t="s">
        <v>757</v>
      </c>
      <c r="C501" s="109" t="s">
        <v>758</v>
      </c>
      <c r="D501" s="50" t="s">
        <v>33</v>
      </c>
      <c r="E501" s="51">
        <f>'[1]8. INSTALACIONES MECANICAS'!J303</f>
        <v>144</v>
      </c>
      <c r="F501" s="52">
        <f>cd8.2.8</f>
        <v>212002.41982500002</v>
      </c>
      <c r="G501" s="53">
        <f t="shared" si="16"/>
        <v>30528348</v>
      </c>
      <c r="H501" s="68"/>
      <c r="I501" s="55"/>
    </row>
    <row r="502" spans="2:9">
      <c r="B502" s="93"/>
      <c r="C502" s="86" t="s">
        <v>768</v>
      </c>
      <c r="D502" s="94"/>
      <c r="E502" s="95"/>
      <c r="F502" s="89"/>
      <c r="G502" s="90"/>
      <c r="H502" s="47"/>
      <c r="I502" s="152"/>
    </row>
    <row r="503" spans="2:9" ht="30" customHeight="1">
      <c r="B503" s="91" t="s">
        <v>728</v>
      </c>
      <c r="C503" s="92" t="s">
        <v>729</v>
      </c>
      <c r="D503" s="87"/>
      <c r="E503" s="88"/>
      <c r="F503" s="89"/>
      <c r="G503" s="90"/>
      <c r="H503" s="47"/>
      <c r="I503" s="152"/>
    </row>
    <row r="504" spans="2:9">
      <c r="B504" s="66" t="s">
        <v>730</v>
      </c>
      <c r="C504" s="49" t="s">
        <v>731</v>
      </c>
      <c r="D504" s="50" t="s">
        <v>33</v>
      </c>
      <c r="E504" s="51">
        <f>'[1]8. INSTALACIONES MECANICAS'!J316</f>
        <v>12</v>
      </c>
      <c r="F504" s="52">
        <f>cd8.1.1</f>
        <v>6638558.1158349961</v>
      </c>
      <c r="G504" s="53">
        <f t="shared" si="16"/>
        <v>79662697</v>
      </c>
      <c r="H504" s="68"/>
      <c r="I504" s="152"/>
    </row>
    <row r="505" spans="2:9">
      <c r="B505" s="66" t="s">
        <v>732</v>
      </c>
      <c r="C505" s="49" t="s">
        <v>733</v>
      </c>
      <c r="D505" s="50" t="s">
        <v>33</v>
      </c>
      <c r="E505" s="51">
        <f>'[1]8. INSTALACIONES MECANICAS'!J325</f>
        <v>4</v>
      </c>
      <c r="F505" s="52">
        <f>cd8.1.2</f>
        <v>4713805.0661625005</v>
      </c>
      <c r="G505" s="53">
        <f t="shared" si="16"/>
        <v>18855220</v>
      </c>
      <c r="H505" s="68"/>
      <c r="I505" s="152"/>
    </row>
    <row r="506" spans="2:9">
      <c r="B506" s="66" t="s">
        <v>763</v>
      </c>
      <c r="C506" s="49" t="s">
        <v>764</v>
      </c>
      <c r="D506" s="50" t="s">
        <v>33</v>
      </c>
      <c r="E506" s="51">
        <f>'[1]8. INSTALACIONES MECANICAS'!J334</f>
        <v>2</v>
      </c>
      <c r="F506" s="52">
        <f>cd8.1.3</f>
        <v>3318694.5213240003</v>
      </c>
      <c r="G506" s="53">
        <f t="shared" si="16"/>
        <v>6637389</v>
      </c>
      <c r="H506" s="68"/>
      <c r="I506" s="152"/>
    </row>
    <row r="507" spans="2:9">
      <c r="B507" s="66" t="s">
        <v>734</v>
      </c>
      <c r="C507" s="49" t="s">
        <v>735</v>
      </c>
      <c r="D507" s="50" t="s">
        <v>54</v>
      </c>
      <c r="E507" s="51">
        <f>'[1]8. INSTALACIONES MECANICAS'!J345</f>
        <v>335</v>
      </c>
      <c r="F507" s="52">
        <f>cd8.1.4</f>
        <v>139035.071975625</v>
      </c>
      <c r="G507" s="53">
        <f t="shared" si="16"/>
        <v>46576749</v>
      </c>
      <c r="H507" s="68"/>
      <c r="I507" s="152"/>
    </row>
    <row r="508" spans="2:9">
      <c r="B508" s="66" t="s">
        <v>736</v>
      </c>
      <c r="C508" s="49" t="s">
        <v>737</v>
      </c>
      <c r="D508" s="50" t="s">
        <v>33</v>
      </c>
      <c r="E508" s="51">
        <f>'[1]8. INSTALACIONES MECANICAS'!J354</f>
        <v>54</v>
      </c>
      <c r="F508" s="52">
        <f>cd8.1.5</f>
        <v>225912.33157499999</v>
      </c>
      <c r="G508" s="53">
        <f t="shared" si="16"/>
        <v>12199266</v>
      </c>
      <c r="H508" s="68"/>
      <c r="I508" s="55"/>
    </row>
    <row r="509" spans="2:9">
      <c r="B509" s="66" t="s">
        <v>738</v>
      </c>
      <c r="C509" s="49" t="s">
        <v>739</v>
      </c>
      <c r="D509" s="50" t="s">
        <v>33</v>
      </c>
      <c r="E509" s="51">
        <f>'[1]8. INSTALACIONES MECANICAS'!J363</f>
        <v>12</v>
      </c>
      <c r="F509" s="52">
        <f>cd8.1.6</f>
        <v>1388982.3198250001</v>
      </c>
      <c r="G509" s="53">
        <f t="shared" si="16"/>
        <v>16667788</v>
      </c>
      <c r="H509" s="68"/>
      <c r="I509" s="152"/>
    </row>
    <row r="510" spans="2:9">
      <c r="B510" s="66" t="s">
        <v>740</v>
      </c>
      <c r="C510" s="49" t="s">
        <v>741</v>
      </c>
      <c r="D510" s="50" t="s">
        <v>54</v>
      </c>
      <c r="E510" s="51">
        <f>'[1]8. INSTALACIONES MECANICAS'!J372</f>
        <v>115</v>
      </c>
      <c r="F510" s="52">
        <f>cd8.1.7</f>
        <v>139026.10732500002</v>
      </c>
      <c r="G510" s="53">
        <f t="shared" si="16"/>
        <v>15988002</v>
      </c>
      <c r="H510" s="68"/>
      <c r="I510" s="152"/>
    </row>
    <row r="511" spans="2:9" ht="16.5" customHeight="1">
      <c r="B511" s="66" t="s">
        <v>742</v>
      </c>
      <c r="C511" s="49" t="s">
        <v>743</v>
      </c>
      <c r="D511" s="50" t="s">
        <v>33</v>
      </c>
      <c r="E511" s="51">
        <f>'[1]8. INSTALACIONES MECANICAS'!J381</f>
        <v>24</v>
      </c>
      <c r="F511" s="52">
        <f>cd8.1.8</f>
        <v>208527.7047</v>
      </c>
      <c r="G511" s="53">
        <f t="shared" si="16"/>
        <v>5004665</v>
      </c>
      <c r="H511" s="68"/>
      <c r="I511" s="152"/>
    </row>
    <row r="512" spans="2:9">
      <c r="B512" s="151">
        <v>8.1999999999999993</v>
      </c>
      <c r="C512" s="92" t="s">
        <v>744</v>
      </c>
      <c r="D512" s="94"/>
      <c r="E512" s="95"/>
      <c r="F512" s="106"/>
      <c r="G512" s="90"/>
      <c r="H512" s="47"/>
      <c r="I512" s="152"/>
    </row>
    <row r="513" spans="2:9" ht="15.75" customHeight="1">
      <c r="B513" s="66" t="s">
        <v>745</v>
      </c>
      <c r="C513" s="49" t="s">
        <v>746</v>
      </c>
      <c r="D513" s="50" t="s">
        <v>33</v>
      </c>
      <c r="E513" s="51">
        <f>'[1]8. INSTALACIONES MECANICAS'!J392</f>
        <v>6</v>
      </c>
      <c r="F513" s="52">
        <f>cd8.2.1</f>
        <v>66988036.480245508</v>
      </c>
      <c r="G513" s="53">
        <f t="shared" si="16"/>
        <v>401928219</v>
      </c>
      <c r="H513" s="68"/>
      <c r="I513" s="152"/>
    </row>
    <row r="514" spans="2:9">
      <c r="B514" s="66" t="s">
        <v>747</v>
      </c>
      <c r="C514" s="49" t="s">
        <v>748</v>
      </c>
      <c r="D514" s="50" t="s">
        <v>54</v>
      </c>
      <c r="E514" s="51">
        <f>'[1]8. INSTALACIONES MECANICAS'!J401</f>
        <v>300</v>
      </c>
      <c r="F514" s="52">
        <f>cd8.2.3</f>
        <v>212002.41982500002</v>
      </c>
      <c r="G514" s="53">
        <f t="shared" si="16"/>
        <v>63600726</v>
      </c>
      <c r="H514" s="68"/>
      <c r="I514" s="55"/>
    </row>
    <row r="515" spans="2:9">
      <c r="B515" s="66" t="s">
        <v>749</v>
      </c>
      <c r="C515" s="49" t="s">
        <v>750</v>
      </c>
      <c r="D515" s="50" t="s">
        <v>33</v>
      </c>
      <c r="E515" s="51">
        <f>'[1]8. INSTALACIONES MECANICAS'!J410</f>
        <v>44</v>
      </c>
      <c r="F515" s="52">
        <f>cd8.2.4</f>
        <v>243527.35470000003</v>
      </c>
      <c r="G515" s="53">
        <f>+ROUND((E515*F515),0)</f>
        <v>10715204</v>
      </c>
      <c r="H515" s="68"/>
      <c r="I515" s="152"/>
    </row>
    <row r="516" spans="2:9">
      <c r="B516" s="66" t="s">
        <v>751</v>
      </c>
      <c r="C516" s="49" t="s">
        <v>752</v>
      </c>
      <c r="D516" s="50" t="s">
        <v>33</v>
      </c>
      <c r="E516" s="51">
        <f>'[1]8. INSTALACIONES MECANICAS'!J419</f>
        <v>12</v>
      </c>
      <c r="F516" s="52">
        <f>cd8.2.5</f>
        <v>260653.64220000003</v>
      </c>
      <c r="G516" s="53">
        <f>+ROUND((E516*F516),0)</f>
        <v>3127844</v>
      </c>
      <c r="H516" s="68"/>
      <c r="I516" s="152"/>
    </row>
    <row r="517" spans="2:9">
      <c r="B517" s="66" t="s">
        <v>753</v>
      </c>
      <c r="C517" s="49" t="s">
        <v>754</v>
      </c>
      <c r="D517" s="50" t="s">
        <v>54</v>
      </c>
      <c r="E517" s="51">
        <f>'[1]8. INSTALACIONES MECANICAS'!J428</f>
        <v>80</v>
      </c>
      <c r="F517" s="52">
        <f>cd8.2.6</f>
        <v>60837.201074999997</v>
      </c>
      <c r="G517" s="53">
        <f>+ROUND((E517*F517),0)</f>
        <v>4866976</v>
      </c>
      <c r="H517" s="68"/>
      <c r="I517" s="152"/>
    </row>
    <row r="518" spans="2:9">
      <c r="B518" s="66" t="s">
        <v>755</v>
      </c>
      <c r="C518" s="49" t="s">
        <v>767</v>
      </c>
      <c r="D518" s="50" t="s">
        <v>33</v>
      </c>
      <c r="E518" s="51">
        <f>'[1]8. INSTALACIONES MECANICAS'!J437</f>
        <v>6</v>
      </c>
      <c r="F518" s="52">
        <f>cd8.2.7</f>
        <v>364905.5172</v>
      </c>
      <c r="G518" s="53">
        <f>+ROUND((E518*F518),0)</f>
        <v>2189433</v>
      </c>
      <c r="H518" s="68"/>
      <c r="I518" s="152"/>
    </row>
    <row r="519" spans="2:9">
      <c r="B519" s="66" t="s">
        <v>757</v>
      </c>
      <c r="C519" s="49" t="s">
        <v>758</v>
      </c>
      <c r="D519" s="50" t="s">
        <v>33</v>
      </c>
      <c r="E519" s="51">
        <f>'[1]8. INSTALACIONES MECANICAS'!J446</f>
        <v>155</v>
      </c>
      <c r="F519" s="52">
        <f>cd8.2.8</f>
        <v>212002.41982500002</v>
      </c>
      <c r="G519" s="53">
        <f>+ROUND((E519*F519),0)</f>
        <v>32860375</v>
      </c>
      <c r="H519" s="68"/>
      <c r="I519" s="152"/>
    </row>
    <row r="520" spans="2:9">
      <c r="B520" s="151">
        <v>8.3000000000000007</v>
      </c>
      <c r="C520" s="92" t="s">
        <v>769</v>
      </c>
      <c r="D520" s="94"/>
      <c r="E520" s="95"/>
      <c r="F520" s="106"/>
      <c r="G520" s="90"/>
      <c r="H520" s="47"/>
      <c r="I520" s="152"/>
    </row>
    <row r="521" spans="2:9">
      <c r="B521" s="66" t="s">
        <v>770</v>
      </c>
      <c r="C521" s="49" t="s">
        <v>771</v>
      </c>
      <c r="D521" s="50" t="s">
        <v>33</v>
      </c>
      <c r="E521" s="51">
        <f>'[1]8. INSTALACIONES MECANICAS'!J457</f>
        <v>14</v>
      </c>
      <c r="F521" s="52">
        <f>cd8.3.1</f>
        <v>3843445.4855999998</v>
      </c>
      <c r="G521" s="53">
        <f>+ROUND((E521*F521),0)</f>
        <v>53808237</v>
      </c>
      <c r="H521" s="68"/>
      <c r="I521" s="152"/>
    </row>
    <row r="522" spans="2:9">
      <c r="B522" s="66" t="s">
        <v>772</v>
      </c>
      <c r="C522" s="49" t="s">
        <v>773</v>
      </c>
      <c r="D522" s="50" t="s">
        <v>54</v>
      </c>
      <c r="E522" s="51">
        <f>'[1]8. INSTALACIONES MECANICAS'!J466</f>
        <v>255</v>
      </c>
      <c r="F522" s="52">
        <f>cd8.3.2</f>
        <v>139035.071975625</v>
      </c>
      <c r="G522" s="53">
        <f>+ROUND((E522*F522),0)</f>
        <v>35453943</v>
      </c>
      <c r="H522" s="68"/>
      <c r="I522" s="152"/>
    </row>
    <row r="523" spans="2:9">
      <c r="B523" s="66" t="s">
        <v>774</v>
      </c>
      <c r="C523" s="49" t="s">
        <v>775</v>
      </c>
      <c r="D523" s="50" t="s">
        <v>33</v>
      </c>
      <c r="E523" s="51">
        <f>'[1]8. INSTALACIONES MECANICAS'!J475</f>
        <v>26</v>
      </c>
      <c r="F523" s="52">
        <f>cd8.3.3</f>
        <v>225912.33157499999</v>
      </c>
      <c r="G523" s="53">
        <f>+ROUND((E523*F523),0)</f>
        <v>5873721</v>
      </c>
      <c r="H523" s="68"/>
      <c r="I523" s="55"/>
    </row>
    <row r="524" spans="2:9" ht="19.5" customHeight="1">
      <c r="B524" s="93"/>
      <c r="C524" s="86" t="s">
        <v>120</v>
      </c>
      <c r="D524" s="94"/>
      <c r="E524" s="95"/>
      <c r="F524" s="89"/>
      <c r="G524" s="90"/>
      <c r="H524" s="47"/>
      <c r="I524" s="152"/>
    </row>
    <row r="525" spans="2:9" ht="16.5" customHeight="1">
      <c r="B525" s="91">
        <v>8.1999999999999993</v>
      </c>
      <c r="C525" s="92" t="s">
        <v>744</v>
      </c>
      <c r="D525" s="87"/>
      <c r="E525" s="88"/>
      <c r="F525" s="89"/>
      <c r="G525" s="90"/>
      <c r="H525" s="47"/>
      <c r="I525" s="152"/>
    </row>
    <row r="526" spans="2:9" ht="19.5" customHeight="1">
      <c r="B526" s="66" t="s">
        <v>745</v>
      </c>
      <c r="C526" s="49" t="s">
        <v>746</v>
      </c>
      <c r="D526" s="50" t="s">
        <v>33</v>
      </c>
      <c r="E526" s="51">
        <f>'[1]8. INSTALACIONES MECANICAS'!J489</f>
        <v>6</v>
      </c>
      <c r="F526" s="52">
        <f>cd8.2.1</f>
        <v>66988036.480245508</v>
      </c>
      <c r="G526" s="53">
        <f>+ROUND((E526*F526),0)</f>
        <v>401928219</v>
      </c>
      <c r="H526" s="68"/>
      <c r="I526" s="152"/>
    </row>
    <row r="527" spans="2:9">
      <c r="B527" s="66" t="s">
        <v>747</v>
      </c>
      <c r="C527" s="49" t="s">
        <v>748</v>
      </c>
      <c r="D527" s="50" t="s">
        <v>54</v>
      </c>
      <c r="E527" s="51">
        <f>'[1]8. INSTALACIONES MECANICAS'!J498</f>
        <v>240</v>
      </c>
      <c r="F527" s="52">
        <f>cd8.2.3</f>
        <v>212002.41982500002</v>
      </c>
      <c r="G527" s="53">
        <f t="shared" ref="G527:G533" si="17">+ROUND((E527*F527),0)</f>
        <v>50880581</v>
      </c>
      <c r="H527" s="68"/>
      <c r="I527" s="152"/>
    </row>
    <row r="528" spans="2:9">
      <c r="B528" s="66" t="s">
        <v>749</v>
      </c>
      <c r="C528" s="49" t="s">
        <v>750</v>
      </c>
      <c r="D528" s="50" t="s">
        <v>33</v>
      </c>
      <c r="E528" s="51">
        <f>'[1]8. INSTALACIONES MECANICAS'!J507</f>
        <v>48</v>
      </c>
      <c r="F528" s="52">
        <f>cd8.2.4</f>
        <v>243527.35470000003</v>
      </c>
      <c r="G528" s="53">
        <f t="shared" si="17"/>
        <v>11689313</v>
      </c>
      <c r="H528" s="68"/>
      <c r="I528" s="152"/>
    </row>
    <row r="529" spans="2:10">
      <c r="B529" s="66" t="s">
        <v>751</v>
      </c>
      <c r="C529" s="49" t="s">
        <v>752</v>
      </c>
      <c r="D529" s="50" t="s">
        <v>33</v>
      </c>
      <c r="E529" s="51">
        <f>'[1]8. INSTALACIONES MECANICAS'!J516</f>
        <v>12</v>
      </c>
      <c r="F529" s="52">
        <f>cd8.2.5</f>
        <v>260653.64220000003</v>
      </c>
      <c r="G529" s="53">
        <f t="shared" si="17"/>
        <v>3127844</v>
      </c>
      <c r="H529" s="68"/>
      <c r="I529" s="55"/>
    </row>
    <row r="530" spans="2:10">
      <c r="B530" s="66" t="s">
        <v>753</v>
      </c>
      <c r="C530" s="49" t="s">
        <v>754</v>
      </c>
      <c r="D530" s="50" t="s">
        <v>54</v>
      </c>
      <c r="E530" s="51">
        <f>'[1]8. INSTALACIONES MECANICAS'!J525</f>
        <v>180</v>
      </c>
      <c r="F530" s="52">
        <f>cd8.2.6</f>
        <v>60837.201074999997</v>
      </c>
      <c r="G530" s="53">
        <f t="shared" si="17"/>
        <v>10950696</v>
      </c>
      <c r="H530" s="68"/>
      <c r="I530" s="55"/>
    </row>
    <row r="531" spans="2:10">
      <c r="B531" s="66" t="s">
        <v>755</v>
      </c>
      <c r="C531" s="49" t="s">
        <v>767</v>
      </c>
      <c r="D531" s="50" t="s">
        <v>33</v>
      </c>
      <c r="E531" s="51">
        <f>'[1]8. INSTALACIONES MECANICAS'!J534</f>
        <v>6</v>
      </c>
      <c r="F531" s="52">
        <f>cd8.2.7</f>
        <v>364905.5172</v>
      </c>
      <c r="G531" s="53">
        <f t="shared" si="17"/>
        <v>2189433</v>
      </c>
      <c r="H531" s="68"/>
      <c r="I531" s="152"/>
    </row>
    <row r="532" spans="2:10">
      <c r="B532" s="66" t="s">
        <v>757</v>
      </c>
      <c r="C532" s="49" t="s">
        <v>758</v>
      </c>
      <c r="D532" s="50" t="s">
        <v>33</v>
      </c>
      <c r="E532" s="51">
        <f>'[1]8. INSTALACIONES MECANICAS'!J543</f>
        <v>60</v>
      </c>
      <c r="F532" s="52">
        <f>cd8.2.8</f>
        <v>212002.41982500002</v>
      </c>
      <c r="G532" s="53">
        <f t="shared" si="17"/>
        <v>12720145</v>
      </c>
      <c r="H532" s="68"/>
      <c r="I532" s="152"/>
    </row>
    <row r="533" spans="2:10">
      <c r="B533" s="66" t="s">
        <v>759</v>
      </c>
      <c r="C533" s="49" t="s">
        <v>760</v>
      </c>
      <c r="D533" s="50" t="s">
        <v>33</v>
      </c>
      <c r="E533" s="51">
        <f>'[1]8. INSTALACIONES MECANICAS'!J552</f>
        <v>3</v>
      </c>
      <c r="F533" s="52">
        <f>cd8.2.9</f>
        <v>3430671.2649900001</v>
      </c>
      <c r="G533" s="53">
        <f t="shared" si="17"/>
        <v>10292014</v>
      </c>
      <c r="H533" s="68"/>
      <c r="I533" s="152"/>
    </row>
    <row r="534" spans="2:10" ht="15.75" customHeight="1">
      <c r="B534" s="66" t="s">
        <v>761</v>
      </c>
      <c r="C534" s="49" t="s">
        <v>762</v>
      </c>
      <c r="D534" s="50" t="s">
        <v>54</v>
      </c>
      <c r="E534" s="51">
        <f>'[1]8. INSTALACIONES MECANICAS'!J561</f>
        <v>30</v>
      </c>
      <c r="F534" s="52">
        <f>cd8.2.10</f>
        <v>48571.101074999999</v>
      </c>
      <c r="G534" s="53">
        <f>+ROUND((E534*F534),0)</f>
        <v>1457133</v>
      </c>
      <c r="H534" s="68"/>
      <c r="I534" s="152"/>
    </row>
    <row r="535" spans="2:10">
      <c r="B535" s="41">
        <v>9</v>
      </c>
      <c r="C535" s="56" t="s">
        <v>776</v>
      </c>
      <c r="D535" s="57"/>
      <c r="E535" s="58"/>
      <c r="F535" s="65"/>
      <c r="G535" s="60"/>
      <c r="H535" s="47">
        <f>SUM(G536:G562)</f>
        <v>953438075</v>
      </c>
      <c r="I535" s="152"/>
    </row>
    <row r="536" spans="2:10" ht="51">
      <c r="B536" s="91" t="s">
        <v>777</v>
      </c>
      <c r="C536" s="92" t="s">
        <v>778</v>
      </c>
      <c r="D536" s="87"/>
      <c r="E536" s="88"/>
      <c r="F536" s="89"/>
      <c r="G536" s="90"/>
      <c r="H536" s="47"/>
      <c r="I536" s="152"/>
    </row>
    <row r="537" spans="2:10">
      <c r="B537" s="85"/>
      <c r="C537" s="86" t="s">
        <v>106</v>
      </c>
      <c r="D537" s="87"/>
      <c r="E537" s="88"/>
      <c r="F537" s="89"/>
      <c r="G537" s="90"/>
      <c r="H537" s="47"/>
      <c r="I537" s="152"/>
    </row>
    <row r="538" spans="2:10" ht="54">
      <c r="B538" s="66" t="s">
        <v>779</v>
      </c>
      <c r="C538" s="49" t="s">
        <v>780</v>
      </c>
      <c r="D538" s="50" t="s">
        <v>19</v>
      </c>
      <c r="E538" s="51">
        <f>'[1]9. MAMPOSTERIA'!K15</f>
        <v>239.90399999999997</v>
      </c>
      <c r="F538" s="52">
        <f>cd9.1.1</f>
        <v>179287.54291462357</v>
      </c>
      <c r="G538" s="53">
        <f>+ROUND((E538*F538),0)</f>
        <v>43011799</v>
      </c>
      <c r="H538" s="68"/>
      <c r="I538" s="152"/>
      <c r="J538" s="77"/>
    </row>
    <row r="539" spans="2:10" ht="54">
      <c r="B539" s="66" t="s">
        <v>779</v>
      </c>
      <c r="C539" s="49" t="s">
        <v>780</v>
      </c>
      <c r="D539" s="50" t="s">
        <v>19</v>
      </c>
      <c r="E539" s="51">
        <f>'[1]9. MAMPOSTERIA'!K30</f>
        <v>223.05599999999998</v>
      </c>
      <c r="F539" s="52">
        <f>cd9.1.1</f>
        <v>179287.54291462357</v>
      </c>
      <c r="G539" s="53">
        <f>+ROUND((E539*F539),0)</f>
        <v>39991162</v>
      </c>
      <c r="H539" s="68"/>
      <c r="I539" s="152"/>
    </row>
    <row r="540" spans="2:10">
      <c r="B540" s="66" t="s">
        <v>781</v>
      </c>
      <c r="C540" s="49" t="s">
        <v>782</v>
      </c>
      <c r="D540" s="50" t="s">
        <v>54</v>
      </c>
      <c r="E540" s="51">
        <f>'[1]9. MAMPOSTERIA'!K45</f>
        <v>61.96</v>
      </c>
      <c r="F540" s="52">
        <f>cd9.1.3</f>
        <v>78737.520493717762</v>
      </c>
      <c r="G540" s="53">
        <f>+ROUND((E540*F540),0)</f>
        <v>4878577</v>
      </c>
      <c r="H540" s="68"/>
      <c r="I540" s="55"/>
    </row>
    <row r="541" spans="2:10">
      <c r="B541" s="66" t="s">
        <v>781</v>
      </c>
      <c r="C541" s="49" t="s">
        <v>783</v>
      </c>
      <c r="D541" s="50" t="s">
        <v>54</v>
      </c>
      <c r="E541" s="51">
        <f>'[1]9. MAMPOSTERIA'!K60</f>
        <v>61.96</v>
      </c>
      <c r="F541" s="52">
        <f>cd9.1.3</f>
        <v>78737.520493717762</v>
      </c>
      <c r="G541" s="53">
        <f>+ROUND((E541*F541),0)</f>
        <v>4878577</v>
      </c>
      <c r="H541" s="68"/>
      <c r="I541" s="55"/>
    </row>
    <row r="542" spans="2:10">
      <c r="B542" s="85"/>
      <c r="C542" s="86" t="s">
        <v>113</v>
      </c>
      <c r="D542" s="87"/>
      <c r="E542" s="88"/>
      <c r="F542" s="89"/>
      <c r="G542" s="90"/>
      <c r="H542" s="47"/>
      <c r="I542" s="55"/>
    </row>
    <row r="543" spans="2:10" ht="54">
      <c r="B543" s="66" t="s">
        <v>779</v>
      </c>
      <c r="C543" s="49" t="s">
        <v>780</v>
      </c>
      <c r="D543" s="50" t="s">
        <v>19</v>
      </c>
      <c r="E543" s="51">
        <f>'[1]9. MAMPOSTERIA'!K79</f>
        <v>199.94399999999999</v>
      </c>
      <c r="F543" s="52">
        <f>cd9.1.1</f>
        <v>179287.54291462357</v>
      </c>
      <c r="G543" s="53">
        <f t="shared" ref="G543:G548" si="18">+ROUND((E543*F543),0)</f>
        <v>35847468</v>
      </c>
      <c r="H543" s="68"/>
      <c r="I543" s="55"/>
    </row>
    <row r="544" spans="2:10" ht="54">
      <c r="B544" s="66" t="s">
        <v>779</v>
      </c>
      <c r="C544" s="49" t="s">
        <v>780</v>
      </c>
      <c r="D544" s="50" t="s">
        <v>19</v>
      </c>
      <c r="E544" s="51">
        <f>'[1]9. MAMPOSTERIA'!K96</f>
        <v>513</v>
      </c>
      <c r="F544" s="52">
        <f>cd9.1.1</f>
        <v>179287.54291462357</v>
      </c>
      <c r="G544" s="53">
        <f t="shared" si="18"/>
        <v>91974510</v>
      </c>
      <c r="H544" s="68"/>
      <c r="I544" s="55"/>
    </row>
    <row r="545" spans="2:9" ht="54">
      <c r="B545" s="66" t="s">
        <v>779</v>
      </c>
      <c r="C545" s="49" t="s">
        <v>780</v>
      </c>
      <c r="D545" s="50" t="s">
        <v>19</v>
      </c>
      <c r="E545" s="51">
        <f>'[1]9. MAMPOSTERIA'!K113</f>
        <v>389.01600000000002</v>
      </c>
      <c r="F545" s="52">
        <f>cd9.1.1</f>
        <v>179287.54291462357</v>
      </c>
      <c r="G545" s="53">
        <f t="shared" si="18"/>
        <v>69745723</v>
      </c>
      <c r="H545" s="68"/>
      <c r="I545" s="55"/>
    </row>
    <row r="546" spans="2:9">
      <c r="B546" s="66" t="s">
        <v>781</v>
      </c>
      <c r="C546" s="49" t="s">
        <v>782</v>
      </c>
      <c r="D546" s="50" t="s">
        <v>54</v>
      </c>
      <c r="E546" s="51">
        <f>'[1]9. MAMPOSTERIA'!K129</f>
        <v>56.54</v>
      </c>
      <c r="F546" s="52">
        <f>cd9.1.3</f>
        <v>78737.520493717762</v>
      </c>
      <c r="G546" s="53">
        <f t="shared" si="18"/>
        <v>4451819</v>
      </c>
      <c r="H546" s="68"/>
      <c r="I546" s="55"/>
    </row>
    <row r="547" spans="2:9">
      <c r="B547" s="66" t="s">
        <v>781</v>
      </c>
      <c r="C547" s="49" t="s">
        <v>783</v>
      </c>
      <c r="D547" s="50" t="s">
        <v>54</v>
      </c>
      <c r="E547" s="51">
        <f>'[1]9. MAMPOSTERIA'!K146</f>
        <v>142.5</v>
      </c>
      <c r="F547" s="52">
        <f>cd9.1.3</f>
        <v>78737.520493717762</v>
      </c>
      <c r="G547" s="53">
        <f t="shared" si="18"/>
        <v>11220097</v>
      </c>
      <c r="H547" s="68"/>
      <c r="I547" s="55"/>
    </row>
    <row r="548" spans="2:9">
      <c r="B548" s="66" t="s">
        <v>781</v>
      </c>
      <c r="C548" s="49" t="s">
        <v>784</v>
      </c>
      <c r="D548" s="50" t="s">
        <v>54</v>
      </c>
      <c r="E548" s="51">
        <f>'[1]9. MAMPOSTERIA'!K163</f>
        <v>108.05999999999999</v>
      </c>
      <c r="F548" s="52">
        <f>cd9.1.3</f>
        <v>78737.520493717762</v>
      </c>
      <c r="G548" s="53">
        <f t="shared" si="18"/>
        <v>8508376</v>
      </c>
      <c r="H548" s="68"/>
      <c r="I548" s="55"/>
    </row>
    <row r="549" spans="2:9">
      <c r="B549" s="85"/>
      <c r="C549" s="86" t="s">
        <v>118</v>
      </c>
      <c r="D549" s="87"/>
      <c r="E549" s="88"/>
      <c r="F549" s="89"/>
      <c r="G549" s="90"/>
      <c r="H549" s="47"/>
      <c r="I549" s="55"/>
    </row>
    <row r="550" spans="2:9" ht="54">
      <c r="B550" s="66" t="s">
        <v>779</v>
      </c>
      <c r="C550" s="49" t="s">
        <v>780</v>
      </c>
      <c r="D550" s="50" t="s">
        <v>19</v>
      </c>
      <c r="E550" s="51">
        <f>'[1]9. MAMPOSTERIA'!K184</f>
        <v>443.7360000000001</v>
      </c>
      <c r="F550" s="52">
        <f>cd9.1.1</f>
        <v>179287.54291462357</v>
      </c>
      <c r="G550" s="53">
        <f t="shared" ref="G550:G555" si="19">+ROUND((E550*F550),0)</f>
        <v>79556337</v>
      </c>
      <c r="H550" s="68"/>
      <c r="I550" s="55"/>
    </row>
    <row r="551" spans="2:9" ht="54">
      <c r="B551" s="66" t="s">
        <v>779</v>
      </c>
      <c r="C551" s="49" t="s">
        <v>780</v>
      </c>
      <c r="D551" s="50" t="s">
        <v>19</v>
      </c>
      <c r="E551" s="51">
        <f>'[1]9. MAMPOSTERIA'!K201</f>
        <v>433.36800000000011</v>
      </c>
      <c r="F551" s="52">
        <f>cd9.1.1</f>
        <v>179287.54291462357</v>
      </c>
      <c r="G551" s="53">
        <f t="shared" si="19"/>
        <v>77697484</v>
      </c>
      <c r="H551" s="68"/>
      <c r="I551" s="55"/>
    </row>
    <row r="552" spans="2:9" ht="54">
      <c r="B552" s="66" t="s">
        <v>779</v>
      </c>
      <c r="C552" s="49" t="s">
        <v>780</v>
      </c>
      <c r="D552" s="50" t="s">
        <v>19</v>
      </c>
      <c r="E552" s="51">
        <f>'[1]9. MAMPOSTERIA'!K218</f>
        <v>431.20800000000014</v>
      </c>
      <c r="F552" s="52">
        <f>cd9.1.1</f>
        <v>179287.54291462357</v>
      </c>
      <c r="G552" s="53">
        <f t="shared" si="19"/>
        <v>77310223</v>
      </c>
      <c r="H552" s="68"/>
      <c r="I552" s="55"/>
    </row>
    <row r="553" spans="2:9">
      <c r="B553" s="66" t="s">
        <v>781</v>
      </c>
      <c r="C553" s="49" t="s">
        <v>782</v>
      </c>
      <c r="D553" s="50" t="s">
        <v>54</v>
      </c>
      <c r="E553" s="51">
        <f>'[1]9. MAMPOSTERIA'!K235</f>
        <v>122.66</v>
      </c>
      <c r="F553" s="52">
        <f>cd9.1.3</f>
        <v>78737.520493717762</v>
      </c>
      <c r="G553" s="53">
        <f t="shared" si="19"/>
        <v>9657944</v>
      </c>
      <c r="H553" s="68"/>
      <c r="I553" s="55"/>
    </row>
    <row r="554" spans="2:9">
      <c r="B554" s="66" t="s">
        <v>781</v>
      </c>
      <c r="C554" s="49" t="s">
        <v>783</v>
      </c>
      <c r="D554" s="50" t="s">
        <v>54</v>
      </c>
      <c r="E554" s="51">
        <f>'[1]9. MAMPOSTERIA'!K252</f>
        <v>119.77999999999999</v>
      </c>
      <c r="F554" s="52">
        <f>cd9.1.3</f>
        <v>78737.520493717762</v>
      </c>
      <c r="G554" s="53">
        <f t="shared" si="19"/>
        <v>9431180</v>
      </c>
      <c r="H554" s="68"/>
      <c r="I554" s="55"/>
    </row>
    <row r="555" spans="2:9">
      <c r="B555" s="66" t="s">
        <v>781</v>
      </c>
      <c r="C555" s="49" t="s">
        <v>784</v>
      </c>
      <c r="D555" s="50" t="s">
        <v>54</v>
      </c>
      <c r="E555" s="51">
        <f>'[1]9. MAMPOSTERIA'!K269</f>
        <v>119.77999999999999</v>
      </c>
      <c r="F555" s="52">
        <f>cd9.1.3</f>
        <v>78737.520493717762</v>
      </c>
      <c r="G555" s="53">
        <f t="shared" si="19"/>
        <v>9431180</v>
      </c>
      <c r="H555" s="68"/>
      <c r="I555" s="55"/>
    </row>
    <row r="556" spans="2:9">
      <c r="B556" s="85"/>
      <c r="C556" s="86" t="s">
        <v>120</v>
      </c>
      <c r="D556" s="87"/>
      <c r="E556" s="88"/>
      <c r="F556" s="89"/>
      <c r="G556" s="90"/>
      <c r="H556" s="47"/>
      <c r="I556" s="55"/>
    </row>
    <row r="557" spans="2:9" ht="54">
      <c r="B557" s="66" t="s">
        <v>779</v>
      </c>
      <c r="C557" s="49" t="s">
        <v>780</v>
      </c>
      <c r="D557" s="50" t="s">
        <v>19</v>
      </c>
      <c r="E557" s="51">
        <f>'[1]9. MAMPOSTERIA'!K293</f>
        <v>622.79999999999995</v>
      </c>
      <c r="F557" s="52">
        <f>cd9.1.1</f>
        <v>179287.54291462357</v>
      </c>
      <c r="G557" s="53">
        <f t="shared" ref="G557:G562" si="20">+ROUND((E557*F557),0)</f>
        <v>111660282</v>
      </c>
      <c r="H557" s="68"/>
      <c r="I557" s="55"/>
    </row>
    <row r="558" spans="2:9" ht="54">
      <c r="B558" s="66" t="s">
        <v>779</v>
      </c>
      <c r="C558" s="49" t="s">
        <v>780</v>
      </c>
      <c r="D558" s="50" t="s">
        <v>19</v>
      </c>
      <c r="E558" s="51">
        <f>'[1]9. MAMPOSTERIA'!K313</f>
        <v>622.79999999999995</v>
      </c>
      <c r="F558" s="52">
        <f>cd9.1.1</f>
        <v>179287.54291462357</v>
      </c>
      <c r="G558" s="53">
        <f t="shared" si="20"/>
        <v>111660282</v>
      </c>
      <c r="H558" s="68"/>
      <c r="I558" s="55"/>
    </row>
    <row r="559" spans="2:9" ht="54">
      <c r="B559" s="66" t="s">
        <v>779</v>
      </c>
      <c r="C559" s="49" t="s">
        <v>780</v>
      </c>
      <c r="D559" s="50" t="s">
        <v>19</v>
      </c>
      <c r="E559" s="51">
        <f>'[1]9. MAMPOSTERIA'!K333</f>
        <v>622.79999999999995</v>
      </c>
      <c r="F559" s="52">
        <f>cd9.1.1</f>
        <v>179287.54291462357</v>
      </c>
      <c r="G559" s="53">
        <f t="shared" si="20"/>
        <v>111660282</v>
      </c>
      <c r="H559" s="68"/>
      <c r="I559" s="55"/>
    </row>
    <row r="560" spans="2:9">
      <c r="B560" s="66" t="s">
        <v>781</v>
      </c>
      <c r="C560" s="49" t="s">
        <v>782</v>
      </c>
      <c r="D560" s="50" t="s">
        <v>54</v>
      </c>
      <c r="E560" s="51">
        <f>'[1]9. MAMPOSTERIA'!K353</f>
        <v>173</v>
      </c>
      <c r="F560" s="52">
        <f>cd9.1.3</f>
        <v>78737.520493717762</v>
      </c>
      <c r="G560" s="53">
        <f t="shared" si="20"/>
        <v>13621591</v>
      </c>
      <c r="H560" s="68"/>
      <c r="I560" s="55"/>
    </row>
    <row r="561" spans="2:9">
      <c r="B561" s="66" t="s">
        <v>781</v>
      </c>
      <c r="C561" s="49" t="s">
        <v>783</v>
      </c>
      <c r="D561" s="50" t="s">
        <v>54</v>
      </c>
      <c r="E561" s="51">
        <f>'[1]9. MAMPOSTERIA'!K373</f>
        <v>173</v>
      </c>
      <c r="F561" s="52">
        <f>cd9.1.3</f>
        <v>78737.520493717762</v>
      </c>
      <c r="G561" s="53">
        <f t="shared" si="20"/>
        <v>13621591</v>
      </c>
      <c r="H561" s="68"/>
      <c r="I561" s="55"/>
    </row>
    <row r="562" spans="2:9">
      <c r="B562" s="66" t="s">
        <v>781</v>
      </c>
      <c r="C562" s="49" t="s">
        <v>784</v>
      </c>
      <c r="D562" s="50" t="s">
        <v>54</v>
      </c>
      <c r="E562" s="51">
        <f>'[1]9. MAMPOSTERIA'!K393</f>
        <v>173</v>
      </c>
      <c r="F562" s="52">
        <f>cd9.1.3</f>
        <v>78737.520493717762</v>
      </c>
      <c r="G562" s="53">
        <f t="shared" si="20"/>
        <v>13621591</v>
      </c>
      <c r="H562" s="68"/>
      <c r="I562" s="55"/>
    </row>
    <row r="563" spans="2:9">
      <c r="B563" s="41">
        <v>10</v>
      </c>
      <c r="C563" s="56" t="s">
        <v>785</v>
      </c>
      <c r="D563" s="57"/>
      <c r="E563" s="58"/>
      <c r="F563" s="65"/>
      <c r="G563" s="60"/>
      <c r="H563" s="47">
        <f>SUM(G565:G576)</f>
        <v>156263849</v>
      </c>
      <c r="I563" s="55"/>
    </row>
    <row r="564" spans="2:9" ht="52.5" customHeight="1">
      <c r="B564" s="91" t="s">
        <v>786</v>
      </c>
      <c r="C564" s="92" t="s">
        <v>787</v>
      </c>
      <c r="D564" s="87"/>
      <c r="E564" s="88"/>
      <c r="F564" s="89"/>
      <c r="G564" s="90"/>
      <c r="H564" s="47"/>
      <c r="I564" s="55"/>
    </row>
    <row r="565" spans="2:9" ht="27">
      <c r="B565" s="66" t="s">
        <v>788</v>
      </c>
      <c r="C565" s="49" t="s">
        <v>789</v>
      </c>
      <c r="D565" s="50" t="s">
        <v>19</v>
      </c>
      <c r="E565" s="51">
        <f>'[1]10. CUBIERTA'!K12</f>
        <v>120</v>
      </c>
      <c r="F565" s="52">
        <f>cd10.1.1</f>
        <v>48496.021000902001</v>
      </c>
      <c r="G565" s="53">
        <f t="shared" ref="G565:G576" si="21">+ROUND((E565*F565),0)</f>
        <v>5819523</v>
      </c>
      <c r="H565" s="68"/>
      <c r="I565" s="55"/>
    </row>
    <row r="566" spans="2:9" ht="27">
      <c r="B566" s="66" t="s">
        <v>788</v>
      </c>
      <c r="C566" s="49" t="s">
        <v>790</v>
      </c>
      <c r="D566" s="50" t="s">
        <v>19</v>
      </c>
      <c r="E566" s="51">
        <f>'[1]10. CUBIERTA'!K25</f>
        <v>418.08159999999998</v>
      </c>
      <c r="F566" s="52">
        <f>cd10.1.1</f>
        <v>48496.021000902001</v>
      </c>
      <c r="G566" s="53">
        <f t="shared" si="21"/>
        <v>20275294</v>
      </c>
      <c r="H566" s="68"/>
      <c r="I566" s="55"/>
    </row>
    <row r="567" spans="2:9" ht="27">
      <c r="B567" s="66" t="s">
        <v>788</v>
      </c>
      <c r="C567" s="49" t="s">
        <v>791</v>
      </c>
      <c r="D567" s="50" t="s">
        <v>19</v>
      </c>
      <c r="E567" s="51">
        <f>'[1]10. CUBIERTA'!K38</f>
        <v>403.58800000000002</v>
      </c>
      <c r="F567" s="52">
        <f>cd10.1.1</f>
        <v>48496.021000902001</v>
      </c>
      <c r="G567" s="53">
        <f t="shared" si="21"/>
        <v>19572412</v>
      </c>
      <c r="H567" s="68"/>
      <c r="I567" s="55"/>
    </row>
    <row r="568" spans="2:9" ht="27">
      <c r="B568" s="66" t="s">
        <v>788</v>
      </c>
      <c r="C568" s="49" t="s">
        <v>792</v>
      </c>
      <c r="D568" s="50" t="s">
        <v>19</v>
      </c>
      <c r="E568" s="51">
        <f>'[1]10. CUBIERTA'!K51</f>
        <v>445.45400000000006</v>
      </c>
      <c r="F568" s="52">
        <f>cd10.1.1</f>
        <v>48496.021000902001</v>
      </c>
      <c r="G568" s="53">
        <f t="shared" si="21"/>
        <v>21602747</v>
      </c>
      <c r="H568" s="68"/>
      <c r="I568" s="55"/>
    </row>
    <row r="569" spans="2:9" ht="27">
      <c r="B569" s="66" t="s">
        <v>793</v>
      </c>
      <c r="C569" s="49" t="s">
        <v>794</v>
      </c>
      <c r="D569" s="50" t="s">
        <v>54</v>
      </c>
      <c r="E569" s="51">
        <f>'[1]10. CUBIERTA'!K69</f>
        <v>57.529999999999994</v>
      </c>
      <c r="F569" s="52">
        <f>cd10.1.2</f>
        <v>10068.4657031035</v>
      </c>
      <c r="G569" s="53">
        <f t="shared" si="21"/>
        <v>579239</v>
      </c>
      <c r="H569" s="68"/>
      <c r="I569" s="55"/>
    </row>
    <row r="570" spans="2:9" ht="27">
      <c r="B570" s="66" t="s">
        <v>793</v>
      </c>
      <c r="C570" s="49" t="s">
        <v>795</v>
      </c>
      <c r="D570" s="50" t="s">
        <v>54</v>
      </c>
      <c r="E570" s="51">
        <f>'[1]10. CUBIERTA'!K84</f>
        <v>108.96000000000001</v>
      </c>
      <c r="F570" s="52">
        <f>cd10.1.2</f>
        <v>10068.4657031035</v>
      </c>
      <c r="G570" s="53">
        <f t="shared" si="21"/>
        <v>1097060</v>
      </c>
      <c r="H570" s="68"/>
      <c r="I570" s="55"/>
    </row>
    <row r="571" spans="2:9" ht="27">
      <c r="B571" s="66" t="s">
        <v>793</v>
      </c>
      <c r="C571" s="49" t="s">
        <v>796</v>
      </c>
      <c r="D571" s="50" t="s">
        <v>54</v>
      </c>
      <c r="E571" s="51">
        <f>'[1]10. CUBIERTA'!K99</f>
        <v>113.05999999999999</v>
      </c>
      <c r="F571" s="52">
        <f>cd10.1.2</f>
        <v>10068.4657031035</v>
      </c>
      <c r="G571" s="53">
        <f t="shared" si="21"/>
        <v>1138341</v>
      </c>
      <c r="H571" s="68"/>
      <c r="I571" s="55"/>
    </row>
    <row r="572" spans="2:9" ht="27">
      <c r="B572" s="66" t="s">
        <v>793</v>
      </c>
      <c r="C572" s="49" t="s">
        <v>797</v>
      </c>
      <c r="D572" s="50" t="s">
        <v>54</v>
      </c>
      <c r="E572" s="51">
        <f>'[1]10. CUBIERTA'!K115</f>
        <v>129.92000000000002</v>
      </c>
      <c r="F572" s="52">
        <f>cd10.1.2</f>
        <v>10068.4657031035</v>
      </c>
      <c r="G572" s="53">
        <f t="shared" si="21"/>
        <v>1308095</v>
      </c>
      <c r="H572" s="68"/>
      <c r="I572" s="55"/>
    </row>
    <row r="573" spans="2:9" ht="27">
      <c r="B573" s="66" t="s">
        <v>798</v>
      </c>
      <c r="C573" s="49" t="s">
        <v>799</v>
      </c>
      <c r="D573" s="50" t="s">
        <v>19</v>
      </c>
      <c r="E573" s="51">
        <f>'[1]10. CUBIERTA'!K132</f>
        <v>120</v>
      </c>
      <c r="F573" s="52">
        <f>cd10.1.3</f>
        <v>61184.986552824397</v>
      </c>
      <c r="G573" s="53">
        <f t="shared" si="21"/>
        <v>7342198</v>
      </c>
      <c r="H573" s="68"/>
      <c r="I573" s="55"/>
    </row>
    <row r="574" spans="2:9" ht="27">
      <c r="B574" s="66" t="s">
        <v>798</v>
      </c>
      <c r="C574" s="49" t="s">
        <v>800</v>
      </c>
      <c r="D574" s="50" t="s">
        <v>19</v>
      </c>
      <c r="E574" s="51">
        <f>'[1]10. CUBIERTA'!K145</f>
        <v>418.08159999999998</v>
      </c>
      <c r="F574" s="52">
        <f>cd10.1.3</f>
        <v>61184.986552824397</v>
      </c>
      <c r="G574" s="53">
        <f t="shared" si="21"/>
        <v>25580317</v>
      </c>
      <c r="H574" s="68"/>
      <c r="I574" s="55"/>
    </row>
    <row r="575" spans="2:9" ht="27">
      <c r="B575" s="66" t="s">
        <v>798</v>
      </c>
      <c r="C575" s="49" t="s">
        <v>801</v>
      </c>
      <c r="D575" s="50" t="s">
        <v>19</v>
      </c>
      <c r="E575" s="51">
        <f>'[1]10. CUBIERTA'!K158</f>
        <v>403.58800000000002</v>
      </c>
      <c r="F575" s="52">
        <f>cd10.1.3</f>
        <v>61184.986552824397</v>
      </c>
      <c r="G575" s="53">
        <f t="shared" si="21"/>
        <v>24693526</v>
      </c>
      <c r="H575" s="68"/>
      <c r="I575" s="55"/>
    </row>
    <row r="576" spans="2:9" ht="27">
      <c r="B576" s="66" t="s">
        <v>798</v>
      </c>
      <c r="C576" s="49" t="s">
        <v>802</v>
      </c>
      <c r="D576" s="50" t="s">
        <v>19</v>
      </c>
      <c r="E576" s="51">
        <f>'[1]10. CUBIERTA'!K171</f>
        <v>445.45400000000006</v>
      </c>
      <c r="F576" s="52">
        <f>cd10.1.3</f>
        <v>61184.986552824397</v>
      </c>
      <c r="G576" s="53">
        <f t="shared" si="21"/>
        <v>27255097</v>
      </c>
      <c r="H576" s="68"/>
      <c r="I576" s="55"/>
    </row>
    <row r="577" spans="2:9">
      <c r="B577" s="41">
        <v>11</v>
      </c>
      <c r="C577" s="56" t="s">
        <v>803</v>
      </c>
      <c r="D577" s="57"/>
      <c r="E577" s="58"/>
      <c r="F577" s="65"/>
      <c r="G577" s="60"/>
      <c r="H577" s="47">
        <f>SUM(G579:G601)</f>
        <v>471915249</v>
      </c>
      <c r="I577" s="55"/>
    </row>
    <row r="578" spans="2:9" ht="54.75" customHeight="1">
      <c r="B578" s="91" t="s">
        <v>804</v>
      </c>
      <c r="C578" s="92" t="s">
        <v>805</v>
      </c>
      <c r="D578" s="87"/>
      <c r="E578" s="88"/>
      <c r="F578" s="89"/>
      <c r="G578" s="90"/>
      <c r="H578" s="47"/>
      <c r="I578" s="55"/>
    </row>
    <row r="579" spans="2:9">
      <c r="B579" s="85"/>
      <c r="C579" s="86" t="s">
        <v>106</v>
      </c>
      <c r="D579" s="87"/>
      <c r="E579" s="88"/>
      <c r="F579" s="89"/>
      <c r="G579" s="90"/>
      <c r="H579" s="47"/>
      <c r="I579" s="55"/>
    </row>
    <row r="580" spans="2:9">
      <c r="B580" s="66" t="s">
        <v>806</v>
      </c>
      <c r="C580" s="67" t="s">
        <v>807</v>
      </c>
      <c r="D580" s="50" t="s">
        <v>19</v>
      </c>
      <c r="E580" s="51">
        <f>'[1]11. PAÑETES'!K14</f>
        <v>223.05599999999998</v>
      </c>
      <c r="F580" s="52">
        <f>cd11.1.1</f>
        <v>51130.455395893994</v>
      </c>
      <c r="G580" s="53">
        <f>+ROUND((E580*F580),0)</f>
        <v>11404955</v>
      </c>
      <c r="H580" s="68"/>
      <c r="I580" s="55"/>
    </row>
    <row r="581" spans="2:9">
      <c r="B581" s="66" t="s">
        <v>806</v>
      </c>
      <c r="C581" s="49" t="s">
        <v>808</v>
      </c>
      <c r="D581" s="50" t="s">
        <v>19</v>
      </c>
      <c r="E581" s="51">
        <f>'[1]11. PAÑETES'!K29</f>
        <v>223.05599999999998</v>
      </c>
      <c r="F581" s="52">
        <f>cd11.1.1</f>
        <v>51130.455395893994</v>
      </c>
      <c r="G581" s="53">
        <f>+ROUND((E581*F581),0)</f>
        <v>11404955</v>
      </c>
      <c r="H581" s="68"/>
      <c r="I581" s="55"/>
    </row>
    <row r="582" spans="2:9">
      <c r="B582" s="66" t="s">
        <v>806</v>
      </c>
      <c r="C582" s="49" t="s">
        <v>809</v>
      </c>
      <c r="D582" s="50" t="s">
        <v>19</v>
      </c>
      <c r="E582" s="51">
        <f>'[1]11. PAÑETES'!K44</f>
        <v>223.05599999999998</v>
      </c>
      <c r="F582" s="52">
        <f>cd11.1.1</f>
        <v>51130.455395893994</v>
      </c>
      <c r="G582" s="53">
        <f>+ROUND((E582*F582),0)</f>
        <v>11404955</v>
      </c>
      <c r="H582" s="68"/>
      <c r="I582" s="55"/>
    </row>
    <row r="583" spans="2:9">
      <c r="B583" s="85"/>
      <c r="C583" s="86" t="s">
        <v>113</v>
      </c>
      <c r="D583" s="87"/>
      <c r="E583" s="88"/>
      <c r="F583" s="90"/>
      <c r="G583" s="90"/>
      <c r="H583" s="47"/>
      <c r="I583" s="55"/>
    </row>
    <row r="584" spans="2:9">
      <c r="B584" s="66" t="s">
        <v>806</v>
      </c>
      <c r="C584" s="67" t="s">
        <v>807</v>
      </c>
      <c r="D584" s="50" t="s">
        <v>19</v>
      </c>
      <c r="E584" s="51">
        <f>'[1]11. PAÑETES'!K63</f>
        <v>138.52800000000002</v>
      </c>
      <c r="F584" s="52">
        <f>cd11.1.1</f>
        <v>51130.455395893994</v>
      </c>
      <c r="G584" s="53">
        <f>+ROUND((E584*F584),0)</f>
        <v>7083000</v>
      </c>
      <c r="H584" s="68"/>
      <c r="I584" s="55"/>
    </row>
    <row r="585" spans="2:9">
      <c r="B585" s="66" t="s">
        <v>806</v>
      </c>
      <c r="C585" s="49" t="s">
        <v>808</v>
      </c>
      <c r="D585" s="50" t="s">
        <v>19</v>
      </c>
      <c r="E585" s="51">
        <f>'[1]11. PAÑETES'!K78</f>
        <v>498.96000000000004</v>
      </c>
      <c r="F585" s="52">
        <f>cd11.1.1</f>
        <v>51130.455395893994</v>
      </c>
      <c r="G585" s="53">
        <f>+ROUND((E585*F585),0)</f>
        <v>25512052</v>
      </c>
      <c r="H585" s="68"/>
      <c r="I585" s="55"/>
    </row>
    <row r="586" spans="2:9">
      <c r="B586" s="66" t="s">
        <v>806</v>
      </c>
      <c r="C586" s="49" t="s">
        <v>809</v>
      </c>
      <c r="D586" s="50" t="s">
        <v>19</v>
      </c>
      <c r="E586" s="51">
        <f>'[1]11. PAÑETES'!K96</f>
        <v>734.904</v>
      </c>
      <c r="F586" s="52">
        <f>cd11.1.1</f>
        <v>51130.455395893994</v>
      </c>
      <c r="G586" s="53">
        <f>+ROUND((E586*F586),0)</f>
        <v>37575976</v>
      </c>
      <c r="H586" s="68"/>
      <c r="I586" s="55"/>
    </row>
    <row r="587" spans="2:9">
      <c r="B587" s="66" t="s">
        <v>806</v>
      </c>
      <c r="C587" s="49" t="s">
        <v>810</v>
      </c>
      <c r="D587" s="50" t="s">
        <v>19</v>
      </c>
      <c r="E587" s="51">
        <f>'[1]11. PAÑETES'!K113</f>
        <v>519.26400000000001</v>
      </c>
      <c r="F587" s="52">
        <f>cd11.1.1</f>
        <v>51130.455395893994</v>
      </c>
      <c r="G587" s="53">
        <f>+ROUND((E587*F587),0)</f>
        <v>26550205</v>
      </c>
      <c r="H587" s="68"/>
      <c r="I587" s="55"/>
    </row>
    <row r="588" spans="2:9">
      <c r="B588" s="85"/>
      <c r="C588" s="86" t="s">
        <v>118</v>
      </c>
      <c r="D588" s="87"/>
      <c r="E588" s="88"/>
      <c r="F588" s="90"/>
      <c r="G588" s="90"/>
      <c r="H588" s="47"/>
      <c r="I588" s="55"/>
    </row>
    <row r="589" spans="2:9">
      <c r="B589" s="66" t="s">
        <v>806</v>
      </c>
      <c r="C589" s="67" t="s">
        <v>807</v>
      </c>
      <c r="D589" s="50" t="s">
        <v>19</v>
      </c>
      <c r="E589" s="51">
        <f>'[1]11. PAÑETES'!K133</f>
        <v>792.07200000000012</v>
      </c>
      <c r="F589" s="52">
        <f>cd11.1.1</f>
        <v>51130.455395893994</v>
      </c>
      <c r="G589" s="53">
        <f>+ROUND((E589*F589),0)</f>
        <v>40499002</v>
      </c>
      <c r="H589" s="68"/>
      <c r="I589" s="55"/>
    </row>
    <row r="590" spans="2:9">
      <c r="B590" s="66" t="s">
        <v>806</v>
      </c>
      <c r="C590" s="49" t="s">
        <v>808</v>
      </c>
      <c r="D590" s="50" t="s">
        <v>19</v>
      </c>
      <c r="E590" s="51">
        <f>'[1]11. PAÑETES'!K150</f>
        <v>600.62400000000002</v>
      </c>
      <c r="F590" s="52">
        <f>cd11.1.1</f>
        <v>51130.455395893994</v>
      </c>
      <c r="G590" s="53">
        <f>+ROUND((E590*F590),0)</f>
        <v>30710179</v>
      </c>
      <c r="H590" s="68"/>
      <c r="I590" s="55"/>
    </row>
    <row r="591" spans="2:9">
      <c r="B591" s="66" t="s">
        <v>806</v>
      </c>
      <c r="C591" s="49" t="s">
        <v>809</v>
      </c>
      <c r="D591" s="50" t="s">
        <v>19</v>
      </c>
      <c r="E591" s="51">
        <f>'[1]11. PAÑETES'!K167</f>
        <v>637.20000000000005</v>
      </c>
      <c r="F591" s="52">
        <f>cd11.1.1</f>
        <v>51130.455395893994</v>
      </c>
      <c r="G591" s="53">
        <f>+ROUND((E591*F591),0)</f>
        <v>32580326</v>
      </c>
      <c r="H591" s="68"/>
      <c r="I591" s="55"/>
    </row>
    <row r="592" spans="2:9">
      <c r="B592" s="66" t="s">
        <v>806</v>
      </c>
      <c r="C592" s="49" t="s">
        <v>810</v>
      </c>
      <c r="D592" s="50" t="s">
        <v>19</v>
      </c>
      <c r="E592" s="51">
        <f>'[1]11. PAÑETES'!K184</f>
        <v>637.20000000000005</v>
      </c>
      <c r="F592" s="52">
        <f>cd11.1.1</f>
        <v>51130.455395893994</v>
      </c>
      <c r="G592" s="53">
        <f>+ROUND((E592*F592),0)</f>
        <v>32580326</v>
      </c>
      <c r="H592" s="68"/>
      <c r="I592" s="55"/>
    </row>
    <row r="593" spans="2:9">
      <c r="B593" s="85"/>
      <c r="C593" s="86" t="s">
        <v>120</v>
      </c>
      <c r="D593" s="87"/>
      <c r="E593" s="88"/>
      <c r="F593" s="90"/>
      <c r="G593" s="90"/>
      <c r="H593" s="47"/>
      <c r="I593" s="55"/>
    </row>
    <row r="594" spans="2:9">
      <c r="B594" s="66" t="s">
        <v>806</v>
      </c>
      <c r="C594" s="67" t="s">
        <v>807</v>
      </c>
      <c r="D594" s="50" t="s">
        <v>19</v>
      </c>
      <c r="E594" s="51">
        <f>'[1]11. PAÑETES'!K203</f>
        <v>640.00800000000004</v>
      </c>
      <c r="F594" s="52">
        <f>cd11.1.1</f>
        <v>51130.455395893994</v>
      </c>
      <c r="G594" s="53">
        <f>+ROUND((E594*F594),0)</f>
        <v>32723900</v>
      </c>
      <c r="H594" s="68"/>
      <c r="I594" s="55"/>
    </row>
    <row r="595" spans="2:9">
      <c r="B595" s="66" t="s">
        <v>806</v>
      </c>
      <c r="C595" s="49" t="s">
        <v>808</v>
      </c>
      <c r="D595" s="50" t="s">
        <v>19</v>
      </c>
      <c r="E595" s="51">
        <f>'[1]11. PAÑETES'!K223</f>
        <v>744.69600000000003</v>
      </c>
      <c r="F595" s="52">
        <f>cd11.1.1</f>
        <v>51130.455395893994</v>
      </c>
      <c r="G595" s="53">
        <f>+ROUND((E595*F595),0)</f>
        <v>38076646</v>
      </c>
      <c r="H595" s="68"/>
      <c r="I595" s="55"/>
    </row>
    <row r="596" spans="2:9">
      <c r="B596" s="66" t="s">
        <v>806</v>
      </c>
      <c r="C596" s="49" t="s">
        <v>809</v>
      </c>
      <c r="D596" s="50" t="s">
        <v>19</v>
      </c>
      <c r="E596" s="51">
        <f>'[1]11. PAÑETES'!K243</f>
        <v>744.69600000000003</v>
      </c>
      <c r="F596" s="52">
        <f>cd11.1.1</f>
        <v>51130.455395893994</v>
      </c>
      <c r="G596" s="53">
        <f>+ROUND((E596*F596),0)</f>
        <v>38076646</v>
      </c>
      <c r="H596" s="68"/>
      <c r="I596" s="55"/>
    </row>
    <row r="597" spans="2:9">
      <c r="B597" s="66" t="s">
        <v>806</v>
      </c>
      <c r="C597" s="49" t="s">
        <v>810</v>
      </c>
      <c r="D597" s="50" t="s">
        <v>19</v>
      </c>
      <c r="E597" s="51">
        <f>'[1]11. PAÑETES'!K263</f>
        <v>744.69600000000003</v>
      </c>
      <c r="F597" s="52">
        <f>cd11.1.1</f>
        <v>51130.455395893994</v>
      </c>
      <c r="G597" s="53">
        <f>+ROUND((E597*F597),0)</f>
        <v>38076646</v>
      </c>
      <c r="H597" s="68"/>
      <c r="I597" s="55"/>
    </row>
    <row r="598" spans="2:9" ht="67.5" customHeight="1">
      <c r="B598" s="91">
        <v>11.2</v>
      </c>
      <c r="C598" s="92" t="s">
        <v>811</v>
      </c>
      <c r="D598" s="87"/>
      <c r="E598" s="88"/>
      <c r="F598" s="89"/>
      <c r="G598" s="90"/>
      <c r="H598" s="47"/>
      <c r="I598" s="55"/>
    </row>
    <row r="599" spans="2:9" ht="27">
      <c r="B599" s="66" t="s">
        <v>812</v>
      </c>
      <c r="C599" s="49" t="s">
        <v>813</v>
      </c>
      <c r="D599" s="50" t="s">
        <v>19</v>
      </c>
      <c r="E599" s="51">
        <f>'[1]11. PAÑETES'!K280</f>
        <v>113.584</v>
      </c>
      <c r="F599" s="52">
        <f>cd11.2.1</f>
        <v>25478.141190684</v>
      </c>
      <c r="G599" s="53">
        <f>+ROUND((E599*F599),0)</f>
        <v>2893909</v>
      </c>
      <c r="H599" s="68"/>
      <c r="I599" s="55"/>
    </row>
    <row r="600" spans="2:9" ht="66" customHeight="1">
      <c r="B600" s="91">
        <v>11.3</v>
      </c>
      <c r="C600" s="92" t="s">
        <v>814</v>
      </c>
      <c r="D600" s="87"/>
      <c r="E600" s="88"/>
      <c r="F600" s="89"/>
      <c r="G600" s="90"/>
      <c r="H600" s="47"/>
      <c r="I600" s="55"/>
    </row>
    <row r="601" spans="2:9" ht="30.75" customHeight="1">
      <c r="B601" s="66" t="s">
        <v>815</v>
      </c>
      <c r="C601" s="49" t="s">
        <v>816</v>
      </c>
      <c r="D601" s="50" t="s">
        <v>19</v>
      </c>
      <c r="E601" s="51">
        <f>'[1]11. PAÑETES'!K297</f>
        <v>3600.76</v>
      </c>
      <c r="F601" s="52">
        <f>cd11.3.1</f>
        <v>15208.336844399999</v>
      </c>
      <c r="G601" s="53">
        <f>+ROUND((E601*F601),0)</f>
        <v>54761571</v>
      </c>
      <c r="H601" s="68"/>
      <c r="I601" s="55"/>
    </row>
    <row r="602" spans="2:9">
      <c r="B602" s="41">
        <v>12</v>
      </c>
      <c r="C602" s="56" t="s">
        <v>817</v>
      </c>
      <c r="D602" s="57"/>
      <c r="E602" s="58"/>
      <c r="F602" s="65"/>
      <c r="G602" s="60"/>
      <c r="H602" s="47">
        <f>SUM(G604:G610)</f>
        <v>28897557</v>
      </c>
      <c r="I602" s="55"/>
    </row>
    <row r="603" spans="2:9">
      <c r="B603" s="85"/>
      <c r="C603" s="86" t="s">
        <v>118</v>
      </c>
      <c r="D603" s="87"/>
      <c r="E603" s="88"/>
      <c r="F603" s="89"/>
      <c r="G603" s="90"/>
      <c r="H603" s="47"/>
      <c r="I603" s="55"/>
    </row>
    <row r="604" spans="2:9" ht="58.5" customHeight="1">
      <c r="B604" s="91" t="s">
        <v>818</v>
      </c>
      <c r="C604" s="92" t="s">
        <v>819</v>
      </c>
      <c r="D604" s="87"/>
      <c r="E604" s="88"/>
      <c r="F604" s="89"/>
      <c r="G604" s="90"/>
      <c r="H604" s="47"/>
      <c r="I604" s="55"/>
    </row>
    <row r="605" spans="2:9" ht="27">
      <c r="B605" s="66" t="s">
        <v>820</v>
      </c>
      <c r="C605" s="49" t="s">
        <v>821</v>
      </c>
      <c r="D605" s="50" t="s">
        <v>19</v>
      </c>
      <c r="E605" s="51">
        <f>'[1]12. RECUBRIMIENTO ZONAS HUMEDAS'!K11</f>
        <v>188.78399999999999</v>
      </c>
      <c r="F605" s="52">
        <f>cd12.1.1</f>
        <v>64574.967622340002</v>
      </c>
      <c r="G605" s="53">
        <f>+ROUND((E605*F605),0)</f>
        <v>12190721</v>
      </c>
      <c r="H605" s="68"/>
      <c r="I605" s="55"/>
    </row>
    <row r="606" spans="2:9" ht="51">
      <c r="B606" s="91" t="s">
        <v>822</v>
      </c>
      <c r="C606" s="92" t="s">
        <v>823</v>
      </c>
      <c r="D606" s="87"/>
      <c r="E606" s="88"/>
      <c r="F606" s="89"/>
      <c r="G606" s="90"/>
      <c r="H606" s="47"/>
      <c r="I606" s="55"/>
    </row>
    <row r="607" spans="2:9" ht="27">
      <c r="B607" s="66" t="s">
        <v>824</v>
      </c>
      <c r="C607" s="49" t="s">
        <v>825</v>
      </c>
      <c r="D607" s="50" t="s">
        <v>19</v>
      </c>
      <c r="E607" s="51">
        <f>'[1]12. RECUBRIMIENTO ZONAS HUMEDAS'!K24</f>
        <v>31.2</v>
      </c>
      <c r="F607" s="52">
        <f>cd12.2.1</f>
        <v>64574.967622340002</v>
      </c>
      <c r="G607" s="53">
        <f>+ROUND((E607*F607),0)</f>
        <v>2014739</v>
      </c>
      <c r="H607" s="68"/>
      <c r="I607" s="55"/>
    </row>
    <row r="608" spans="2:9">
      <c r="B608" s="85"/>
      <c r="C608" s="86" t="s">
        <v>120</v>
      </c>
      <c r="D608" s="87"/>
      <c r="E608" s="88"/>
      <c r="F608" s="89"/>
      <c r="G608" s="90"/>
      <c r="H608" s="47"/>
      <c r="I608" s="55"/>
    </row>
    <row r="609" spans="2:10" ht="54.75" customHeight="1">
      <c r="B609" s="91" t="s">
        <v>818</v>
      </c>
      <c r="C609" s="92" t="s">
        <v>819</v>
      </c>
      <c r="D609" s="87"/>
      <c r="E609" s="88"/>
      <c r="F609" s="89"/>
      <c r="G609" s="90"/>
      <c r="H609" s="47"/>
      <c r="I609" s="55"/>
    </row>
    <row r="610" spans="2:10" ht="27">
      <c r="B610" s="66" t="s">
        <v>820</v>
      </c>
      <c r="C610" s="49" t="s">
        <v>821</v>
      </c>
      <c r="D610" s="50" t="s">
        <v>19</v>
      </c>
      <c r="E610" s="51">
        <f>'[1]12. RECUBRIMIENTO ZONAS HUMEDAS'!K38</f>
        <v>227.52</v>
      </c>
      <c r="F610" s="52">
        <f>cd12.1.1</f>
        <v>64574.967622340002</v>
      </c>
      <c r="G610" s="53">
        <f>+ROUND((E610*F610),0)</f>
        <v>14692097</v>
      </c>
      <c r="H610" s="68"/>
      <c r="I610" s="55"/>
    </row>
    <row r="611" spans="2:10">
      <c r="B611" s="41">
        <v>13</v>
      </c>
      <c r="C611" s="56" t="s">
        <v>826</v>
      </c>
      <c r="D611" s="57"/>
      <c r="E611" s="58"/>
      <c r="F611" s="65"/>
      <c r="G611" s="60"/>
      <c r="H611" s="47">
        <f>SUM(G613:G659)</f>
        <v>1041281085</v>
      </c>
      <c r="I611" s="55"/>
    </row>
    <row r="612" spans="2:10">
      <c r="B612" s="85"/>
      <c r="C612" s="86" t="s">
        <v>106</v>
      </c>
      <c r="D612" s="87"/>
      <c r="E612" s="88"/>
      <c r="F612" s="89"/>
      <c r="G612" s="90"/>
      <c r="H612" s="47"/>
      <c r="I612" s="55"/>
    </row>
    <row r="613" spans="2:10" ht="51.75" customHeight="1">
      <c r="B613" s="91">
        <v>13.1</v>
      </c>
      <c r="C613" s="92" t="s">
        <v>827</v>
      </c>
      <c r="D613" s="87"/>
      <c r="E613" s="88"/>
      <c r="F613" s="89"/>
      <c r="G613" s="90"/>
      <c r="H613" s="47"/>
      <c r="I613" s="55"/>
    </row>
    <row r="614" spans="2:10">
      <c r="B614" s="66" t="s">
        <v>828</v>
      </c>
      <c r="C614" s="49" t="s">
        <v>829</v>
      </c>
      <c r="D614" s="50" t="s">
        <v>54</v>
      </c>
      <c r="E614" s="51">
        <f>'[1]13. PISOS'!K11</f>
        <v>1</v>
      </c>
      <c r="F614" s="52">
        <f>cd13.1.1</f>
        <v>31390.392271518002</v>
      </c>
      <c r="G614" s="53">
        <f>+ROUND((E614*F614),0)</f>
        <v>31390</v>
      </c>
      <c r="H614" s="68"/>
      <c r="I614" s="55"/>
    </row>
    <row r="615" spans="2:10" ht="27">
      <c r="B615" s="66" t="s">
        <v>830</v>
      </c>
      <c r="C615" s="49" t="s">
        <v>831</v>
      </c>
      <c r="D615" s="50" t="s">
        <v>19</v>
      </c>
      <c r="E615" s="51">
        <f>'[1]13. PISOS'!K22</f>
        <v>331.79999999999995</v>
      </c>
      <c r="F615" s="52">
        <f>cd13.1.2</f>
        <v>39202.600094658002</v>
      </c>
      <c r="G615" s="53">
        <f>+ROUND((E615*F615),0)</f>
        <v>13007423</v>
      </c>
      <c r="H615" s="68"/>
      <c r="I615" s="55"/>
    </row>
    <row r="616" spans="2:10" ht="38.25">
      <c r="B616" s="91">
        <v>13.2</v>
      </c>
      <c r="C616" s="92" t="s">
        <v>832</v>
      </c>
      <c r="D616" s="87"/>
      <c r="E616" s="88"/>
      <c r="F616" s="89"/>
      <c r="G616" s="90"/>
      <c r="H616" s="47"/>
      <c r="I616" s="55"/>
    </row>
    <row r="617" spans="2:10" ht="40.5">
      <c r="B617" s="66" t="s">
        <v>833</v>
      </c>
      <c r="C617" s="67" t="s">
        <v>834</v>
      </c>
      <c r="D617" s="50" t="s">
        <v>19</v>
      </c>
      <c r="E617" s="51">
        <f>'[1]13. PISOS'!K34</f>
        <v>116.13</v>
      </c>
      <c r="F617" s="52">
        <f>cd13.2.1</f>
        <v>148393.246291068</v>
      </c>
      <c r="G617" s="53">
        <f>+ROUND((E617*F617),0)</f>
        <v>17232908</v>
      </c>
      <c r="H617" s="68"/>
      <c r="I617" s="55"/>
      <c r="J617" s="153"/>
    </row>
    <row r="618" spans="2:10" ht="40.5">
      <c r="B618" s="66" t="s">
        <v>833</v>
      </c>
      <c r="C618" s="49" t="s">
        <v>835</v>
      </c>
      <c r="D618" s="50" t="s">
        <v>19</v>
      </c>
      <c r="E618" s="51">
        <f>'[1]13. PISOS'!K46</f>
        <v>116.13</v>
      </c>
      <c r="F618" s="52">
        <f>cd13.2.1</f>
        <v>148393.246291068</v>
      </c>
      <c r="G618" s="53">
        <f>+ROUND((E618*F618),0)</f>
        <v>17232908</v>
      </c>
      <c r="H618" s="68"/>
      <c r="I618" s="55"/>
      <c r="J618" s="153"/>
    </row>
    <row r="619" spans="2:10" ht="40.5">
      <c r="B619" s="66" t="s">
        <v>833</v>
      </c>
      <c r="C619" s="49" t="s">
        <v>836</v>
      </c>
      <c r="D619" s="50" t="s">
        <v>19</v>
      </c>
      <c r="E619" s="51">
        <f>'[1]13. PISOS'!K58</f>
        <v>116.13</v>
      </c>
      <c r="F619" s="52">
        <f>cd13.2.1</f>
        <v>148393.246291068</v>
      </c>
      <c r="G619" s="53">
        <f>+ROUND((E619*F619),0)</f>
        <v>17232908</v>
      </c>
      <c r="H619" s="68"/>
      <c r="I619" s="55"/>
      <c r="J619" s="153"/>
    </row>
    <row r="620" spans="2:10">
      <c r="B620" s="85"/>
      <c r="C620" s="86" t="s">
        <v>113</v>
      </c>
      <c r="D620" s="87"/>
      <c r="E620" s="88"/>
      <c r="F620" s="89"/>
      <c r="G620" s="90"/>
      <c r="H620" s="47"/>
      <c r="I620" s="55"/>
      <c r="J620" s="153"/>
    </row>
    <row r="621" spans="2:10" ht="50.25" customHeight="1">
      <c r="B621" s="91">
        <v>13.1</v>
      </c>
      <c r="C621" s="92" t="s">
        <v>827</v>
      </c>
      <c r="D621" s="87"/>
      <c r="E621" s="88"/>
      <c r="F621" s="89"/>
      <c r="G621" s="90"/>
      <c r="H621" s="47"/>
      <c r="I621" s="55"/>
      <c r="J621" s="153"/>
    </row>
    <row r="622" spans="2:10">
      <c r="B622" s="66" t="s">
        <v>828</v>
      </c>
      <c r="C622" s="49" t="s">
        <v>829</v>
      </c>
      <c r="D622" s="50" t="s">
        <v>54</v>
      </c>
      <c r="E622" s="51">
        <f>'[1]13. PISOS'!K74</f>
        <v>1</v>
      </c>
      <c r="F622" s="52">
        <f>cd13.1.1</f>
        <v>31390.392271518002</v>
      </c>
      <c r="G622" s="53">
        <f>+ROUND((E622*F622),0)</f>
        <v>31390</v>
      </c>
      <c r="H622" s="68"/>
      <c r="I622" s="55"/>
      <c r="J622" s="153"/>
    </row>
    <row r="623" spans="2:10" ht="27">
      <c r="B623" s="66" t="s">
        <v>830</v>
      </c>
      <c r="C623" s="49" t="s">
        <v>831</v>
      </c>
      <c r="D623" s="50" t="s">
        <v>19</v>
      </c>
      <c r="E623" s="51">
        <f>'[1]13. PISOS'!K87</f>
        <v>1353.74</v>
      </c>
      <c r="F623" s="52">
        <f>cd13.1.2</f>
        <v>39202.600094658002</v>
      </c>
      <c r="G623" s="53">
        <f>+ROUND((E623*F623),0)</f>
        <v>53070128</v>
      </c>
      <c r="H623" s="68"/>
      <c r="I623" s="55"/>
      <c r="J623" s="153"/>
    </row>
    <row r="624" spans="2:10" ht="38.25">
      <c r="B624" s="91">
        <v>13.2</v>
      </c>
      <c r="C624" s="92" t="s">
        <v>832</v>
      </c>
      <c r="D624" s="87"/>
      <c r="E624" s="88"/>
      <c r="F624" s="89"/>
      <c r="G624" s="90"/>
      <c r="H624" s="47"/>
      <c r="I624" s="55"/>
      <c r="J624" s="153"/>
    </row>
    <row r="625" spans="2:10" ht="40.5">
      <c r="B625" s="66" t="s">
        <v>833</v>
      </c>
      <c r="C625" s="67" t="s">
        <v>834</v>
      </c>
      <c r="D625" s="50" t="s">
        <v>19</v>
      </c>
      <c r="E625" s="51">
        <f>'[1]13. PISOS'!K98</f>
        <v>410.62</v>
      </c>
      <c r="F625" s="52">
        <f>cd13.2.1</f>
        <v>148393.246291068</v>
      </c>
      <c r="G625" s="53">
        <f>+ROUND((E625*F625),0)</f>
        <v>60933235</v>
      </c>
      <c r="H625" s="68"/>
      <c r="I625" s="55"/>
      <c r="J625" s="153"/>
    </row>
    <row r="626" spans="2:10" ht="40.5">
      <c r="B626" s="66" t="s">
        <v>833</v>
      </c>
      <c r="C626" s="49" t="s">
        <v>835</v>
      </c>
      <c r="D626" s="50" t="s">
        <v>19</v>
      </c>
      <c r="E626" s="51">
        <f>'[1]13. PISOS'!K110</f>
        <v>137.69999999999999</v>
      </c>
      <c r="F626" s="52">
        <f>cd13.2.1</f>
        <v>148393.246291068</v>
      </c>
      <c r="G626" s="53">
        <f>+ROUND((E626*F626),0)</f>
        <v>20433750</v>
      </c>
      <c r="H626" s="68"/>
      <c r="I626" s="55"/>
      <c r="J626" s="153"/>
    </row>
    <row r="627" spans="2:10" ht="40.5">
      <c r="B627" s="66" t="s">
        <v>833</v>
      </c>
      <c r="C627" s="49" t="s">
        <v>836</v>
      </c>
      <c r="D627" s="50" t="s">
        <v>19</v>
      </c>
      <c r="E627" s="51">
        <f>'[1]13. PISOS'!K122</f>
        <v>331.5</v>
      </c>
      <c r="F627" s="52">
        <f>cd13.2.1</f>
        <v>148393.246291068</v>
      </c>
      <c r="G627" s="53">
        <f>+ROUND((E627*F627),0)</f>
        <v>49192361</v>
      </c>
      <c r="H627" s="68"/>
      <c r="I627" s="55"/>
      <c r="J627" s="153"/>
    </row>
    <row r="628" spans="2:10" ht="40.5">
      <c r="B628" s="66" t="s">
        <v>833</v>
      </c>
      <c r="C628" s="49" t="s">
        <v>837</v>
      </c>
      <c r="D628" s="50" t="s">
        <v>19</v>
      </c>
      <c r="E628" s="51">
        <f>'[1]13. PISOS'!K134</f>
        <v>275.73</v>
      </c>
      <c r="F628" s="52">
        <f>cd13.2.1</f>
        <v>148393.246291068</v>
      </c>
      <c r="G628" s="53">
        <f>+ROUND((E628*F628),0)</f>
        <v>40916470</v>
      </c>
      <c r="H628" s="68"/>
      <c r="I628" s="55"/>
      <c r="J628" s="153"/>
    </row>
    <row r="629" spans="2:10">
      <c r="B629" s="85"/>
      <c r="C629" s="86" t="s">
        <v>118</v>
      </c>
      <c r="D629" s="87"/>
      <c r="E629" s="88"/>
      <c r="F629" s="89"/>
      <c r="G629" s="90"/>
      <c r="H629" s="47"/>
      <c r="I629" s="55"/>
      <c r="J629" s="153"/>
    </row>
    <row r="630" spans="2:10" ht="52.5" customHeight="1">
      <c r="B630" s="91">
        <v>13.1</v>
      </c>
      <c r="C630" s="92" t="s">
        <v>827</v>
      </c>
      <c r="D630" s="87"/>
      <c r="E630" s="88"/>
      <c r="F630" s="89"/>
      <c r="G630" s="90"/>
      <c r="H630" s="47"/>
      <c r="I630" s="55"/>
      <c r="J630" s="153"/>
    </row>
    <row r="631" spans="2:10">
      <c r="B631" s="66" t="s">
        <v>828</v>
      </c>
      <c r="C631" s="49" t="s">
        <v>829</v>
      </c>
      <c r="D631" s="50" t="s">
        <v>54</v>
      </c>
      <c r="E631" s="51">
        <f>'[1]13. PISOS'!K150</f>
        <v>1</v>
      </c>
      <c r="F631" s="52">
        <f>cd13.1.1</f>
        <v>31390.392271518002</v>
      </c>
      <c r="G631" s="53">
        <f>+ROUND((E631*F631),0)</f>
        <v>31390</v>
      </c>
      <c r="H631" s="68"/>
      <c r="I631" s="55"/>
      <c r="J631" s="153"/>
    </row>
    <row r="632" spans="2:10" ht="27">
      <c r="B632" s="66" t="s">
        <v>830</v>
      </c>
      <c r="C632" s="49" t="s">
        <v>831</v>
      </c>
      <c r="D632" s="50" t="s">
        <v>19</v>
      </c>
      <c r="E632" s="51">
        <f>'[1]13. PISOS'!K163</f>
        <v>1375.1699999999998</v>
      </c>
      <c r="F632" s="52">
        <f>cd13.1.2</f>
        <v>39202.600094658002</v>
      </c>
      <c r="G632" s="53">
        <f>+ROUND((E632*F632),0)</f>
        <v>53910240</v>
      </c>
      <c r="H632" s="68"/>
      <c r="I632" s="55"/>
      <c r="J632" s="153"/>
    </row>
    <row r="633" spans="2:10" ht="38.25">
      <c r="B633" s="91">
        <v>13.2</v>
      </c>
      <c r="C633" s="92" t="s">
        <v>832</v>
      </c>
      <c r="D633" s="87"/>
      <c r="E633" s="88"/>
      <c r="F633" s="89"/>
      <c r="G633" s="90"/>
      <c r="H633" s="47"/>
      <c r="I633" s="55"/>
      <c r="J633" s="153"/>
    </row>
    <row r="634" spans="2:10" ht="40.5">
      <c r="B634" s="66" t="s">
        <v>833</v>
      </c>
      <c r="C634" s="67" t="s">
        <v>834</v>
      </c>
      <c r="D634" s="50" t="s">
        <v>19</v>
      </c>
      <c r="E634" s="51">
        <f>'[1]13. PISOS'!K174</f>
        <v>172.9</v>
      </c>
      <c r="F634" s="52">
        <f>cd13.2.1</f>
        <v>148393.246291068</v>
      </c>
      <c r="G634" s="53">
        <f>+ROUND((E634*F634),0)</f>
        <v>25657192</v>
      </c>
      <c r="H634" s="68"/>
      <c r="I634" s="55"/>
      <c r="J634" s="153"/>
    </row>
    <row r="635" spans="2:10" ht="40.5">
      <c r="B635" s="66" t="s">
        <v>833</v>
      </c>
      <c r="C635" s="49" t="s">
        <v>835</v>
      </c>
      <c r="D635" s="50" t="s">
        <v>19</v>
      </c>
      <c r="E635" s="51">
        <f>'[1]13. PISOS'!K186</f>
        <v>307.7</v>
      </c>
      <c r="F635" s="52">
        <f>cd13.2.1</f>
        <v>148393.246291068</v>
      </c>
      <c r="G635" s="53">
        <f>+ROUND((E635*F635),0)</f>
        <v>45660602</v>
      </c>
      <c r="H635" s="68"/>
      <c r="I635" s="55"/>
      <c r="J635" s="153"/>
    </row>
    <row r="636" spans="2:10" ht="40.5">
      <c r="B636" s="66" t="s">
        <v>833</v>
      </c>
      <c r="C636" s="49" t="s">
        <v>836</v>
      </c>
      <c r="D636" s="50" t="s">
        <v>19</v>
      </c>
      <c r="E636" s="51">
        <f>'[1]13. PISOS'!K198</f>
        <v>310.89999999999998</v>
      </c>
      <c r="F636" s="52">
        <f>cd13.2.1</f>
        <v>148393.246291068</v>
      </c>
      <c r="G636" s="53">
        <f>+ROUND((E636*F636),0)</f>
        <v>46135460</v>
      </c>
      <c r="H636" s="68"/>
      <c r="I636" s="55"/>
      <c r="J636" s="153"/>
    </row>
    <row r="637" spans="2:10" ht="40.5">
      <c r="B637" s="66" t="s">
        <v>833</v>
      </c>
      <c r="C637" s="49" t="s">
        <v>837</v>
      </c>
      <c r="D637" s="50" t="s">
        <v>19</v>
      </c>
      <c r="E637" s="51">
        <f>'[1]13. PISOS'!K210</f>
        <v>310.89999999999998</v>
      </c>
      <c r="F637" s="52">
        <f>cd13.2.1</f>
        <v>148393.246291068</v>
      </c>
      <c r="G637" s="53">
        <f>+ROUND((E637*F637),0)</f>
        <v>46135460</v>
      </c>
      <c r="H637" s="68"/>
      <c r="I637" s="55"/>
      <c r="J637" s="153"/>
    </row>
    <row r="638" spans="2:10">
      <c r="B638" s="85"/>
      <c r="C638" s="86" t="s">
        <v>120</v>
      </c>
      <c r="D638" s="87"/>
      <c r="E638" s="88"/>
      <c r="F638" s="89"/>
      <c r="G638" s="90"/>
      <c r="H638" s="47"/>
      <c r="I638" s="55"/>
      <c r="J638" s="153"/>
    </row>
    <row r="639" spans="2:10" ht="47.25" customHeight="1">
      <c r="B639" s="91">
        <v>13.1</v>
      </c>
      <c r="C639" s="92" t="s">
        <v>827</v>
      </c>
      <c r="D639" s="87"/>
      <c r="E639" s="88"/>
      <c r="F639" s="89"/>
      <c r="G639" s="90"/>
      <c r="H639" s="47"/>
      <c r="I639" s="55"/>
      <c r="J639" s="153"/>
    </row>
    <row r="640" spans="2:10">
      <c r="B640" s="66" t="s">
        <v>828</v>
      </c>
      <c r="C640" s="49" t="s">
        <v>829</v>
      </c>
      <c r="D640" s="50" t="s">
        <v>54</v>
      </c>
      <c r="E640" s="51">
        <f>'[1]13. PISOS'!K226</f>
        <v>1</v>
      </c>
      <c r="F640" s="52">
        <f>cd13.1.1</f>
        <v>31390.392271518002</v>
      </c>
      <c r="G640" s="53">
        <f>+ROUND((E640*F640),0)</f>
        <v>31390</v>
      </c>
      <c r="H640" s="68"/>
      <c r="I640" s="55"/>
      <c r="J640" s="153"/>
    </row>
    <row r="641" spans="2:10" ht="27">
      <c r="B641" s="66" t="s">
        <v>830</v>
      </c>
      <c r="C641" s="49" t="s">
        <v>831</v>
      </c>
      <c r="D641" s="50" t="s">
        <v>19</v>
      </c>
      <c r="E641" s="51">
        <f>'[1]13. PISOS'!K237</f>
        <v>1337.1699999999998</v>
      </c>
      <c r="F641" s="52">
        <f>cd13.1.2</f>
        <v>39202.600094658002</v>
      </c>
      <c r="G641" s="53">
        <f>+ROUND((E641*F641),0)</f>
        <v>52420541</v>
      </c>
      <c r="H641" s="68"/>
      <c r="I641" s="55"/>
      <c r="J641" s="153"/>
    </row>
    <row r="642" spans="2:10" ht="38.25">
      <c r="B642" s="91">
        <v>13.2</v>
      </c>
      <c r="C642" s="92" t="s">
        <v>832</v>
      </c>
      <c r="D642" s="87"/>
      <c r="E642" s="88"/>
      <c r="F642" s="89"/>
      <c r="G642" s="90"/>
      <c r="H642" s="47"/>
      <c r="I642" s="55"/>
      <c r="J642" s="153"/>
    </row>
    <row r="643" spans="2:10" ht="40.5">
      <c r="B643" s="66" t="s">
        <v>833</v>
      </c>
      <c r="C643" s="49" t="s">
        <v>835</v>
      </c>
      <c r="D643" s="50" t="s">
        <v>19</v>
      </c>
      <c r="E643" s="51">
        <f>'[1]13. PISOS'!K247</f>
        <v>341.5</v>
      </c>
      <c r="F643" s="52">
        <f>cd13.2.1</f>
        <v>148393.246291068</v>
      </c>
      <c r="G643" s="53">
        <f>+ROUND((E643*F643),0)</f>
        <v>50676294</v>
      </c>
      <c r="H643" s="68"/>
      <c r="I643" s="55"/>
      <c r="J643" s="153"/>
    </row>
    <row r="644" spans="2:10" ht="40.5">
      <c r="B644" s="66" t="s">
        <v>833</v>
      </c>
      <c r="C644" s="49" t="s">
        <v>836</v>
      </c>
      <c r="D644" s="50" t="s">
        <v>19</v>
      </c>
      <c r="E644" s="51">
        <f>'[1]13. PISOS'!K259</f>
        <v>339.4</v>
      </c>
      <c r="F644" s="52">
        <f>cd13.2.1</f>
        <v>148393.246291068</v>
      </c>
      <c r="G644" s="53">
        <f>+ROUND((E644*F644),0)</f>
        <v>50364668</v>
      </c>
      <c r="H644" s="68"/>
      <c r="I644" s="55"/>
      <c r="J644" s="153"/>
    </row>
    <row r="645" spans="2:10" ht="40.5">
      <c r="B645" s="66" t="s">
        <v>833</v>
      </c>
      <c r="C645" s="49" t="s">
        <v>837</v>
      </c>
      <c r="D645" s="50" t="s">
        <v>19</v>
      </c>
      <c r="E645" s="51">
        <f>'[1]13. PISOS'!K271</f>
        <v>346.2</v>
      </c>
      <c r="F645" s="52">
        <f>cd13.2.1</f>
        <v>148393.246291068</v>
      </c>
      <c r="G645" s="53">
        <f>+ROUND((E645*F645),0)</f>
        <v>51373742</v>
      </c>
      <c r="H645" s="68"/>
      <c r="I645" s="55"/>
      <c r="J645" s="153"/>
    </row>
    <row r="646" spans="2:10" ht="26.25" customHeight="1">
      <c r="B646" s="91">
        <v>13.3</v>
      </c>
      <c r="C646" s="92" t="s">
        <v>838</v>
      </c>
      <c r="D646" s="87"/>
      <c r="E646" s="88"/>
      <c r="F646" s="89"/>
      <c r="G646" s="90"/>
      <c r="H646" s="47"/>
      <c r="I646" s="55"/>
      <c r="J646" s="153"/>
    </row>
    <row r="647" spans="2:10" ht="27">
      <c r="B647" s="66" t="s">
        <v>839</v>
      </c>
      <c r="C647" s="49" t="s">
        <v>840</v>
      </c>
      <c r="D647" s="50" t="s">
        <v>59</v>
      </c>
      <c r="E647" s="51">
        <f>'[1]13. PISOS'!L286</f>
        <v>992</v>
      </c>
      <c r="F647" s="52">
        <f>cd13.3.1</f>
        <v>5556.1900846200006</v>
      </c>
      <c r="G647" s="53">
        <f>+ROUND((E647*F647),0)</f>
        <v>5511741</v>
      </c>
      <c r="H647" s="68"/>
      <c r="I647" s="55"/>
      <c r="J647" s="153"/>
    </row>
    <row r="648" spans="2:10" ht="94.5">
      <c r="B648" s="66" t="s">
        <v>841</v>
      </c>
      <c r="C648" s="49" t="s">
        <v>842</v>
      </c>
      <c r="D648" s="50" t="s">
        <v>19</v>
      </c>
      <c r="E648" s="51">
        <f>'[1]13. PISOS'!K298</f>
        <v>263.02</v>
      </c>
      <c r="F648" s="52">
        <f>cd13.3.2</f>
        <v>84352.788136122486</v>
      </c>
      <c r="G648" s="53">
        <f>+ROUND((E648*F648),0)</f>
        <v>22186470</v>
      </c>
      <c r="H648" s="68"/>
      <c r="I648" s="55"/>
      <c r="J648" s="153"/>
    </row>
    <row r="649" spans="2:10">
      <c r="B649" s="85"/>
      <c r="C649" s="154" t="s">
        <v>843</v>
      </c>
      <c r="D649" s="87"/>
      <c r="E649" s="88"/>
      <c r="F649" s="89"/>
      <c r="G649" s="90"/>
      <c r="H649" s="47"/>
      <c r="I649" s="55"/>
      <c r="J649" s="153"/>
    </row>
    <row r="650" spans="2:10" ht="54" customHeight="1">
      <c r="B650" s="91">
        <v>13.1</v>
      </c>
      <c r="C650" s="92" t="s">
        <v>827</v>
      </c>
      <c r="D650" s="87"/>
      <c r="E650" s="88"/>
      <c r="F650" s="89"/>
      <c r="G650" s="90"/>
      <c r="H650" s="47"/>
      <c r="I650" s="55"/>
      <c r="J650" s="153"/>
    </row>
    <row r="651" spans="2:10" ht="27">
      <c r="B651" s="66" t="s">
        <v>830</v>
      </c>
      <c r="C651" s="49" t="s">
        <v>831</v>
      </c>
      <c r="D651" s="50" t="s">
        <v>19</v>
      </c>
      <c r="E651" s="51">
        <f>'[1]13. PISOS'!K247</f>
        <v>341.5</v>
      </c>
      <c r="F651" s="52">
        <f>cd13.1.2</f>
        <v>39202.600094658002</v>
      </c>
      <c r="G651" s="53">
        <f>+ROUND((E651*F651),0)</f>
        <v>13387688</v>
      </c>
      <c r="H651" s="47"/>
      <c r="I651" s="55"/>
      <c r="J651" s="153"/>
    </row>
    <row r="652" spans="2:10" ht="38.25">
      <c r="B652" s="91">
        <v>13.2</v>
      </c>
      <c r="C652" s="92" t="s">
        <v>832</v>
      </c>
      <c r="D652" s="87"/>
      <c r="E652" s="88"/>
      <c r="F652" s="89"/>
      <c r="G652" s="90"/>
      <c r="H652" s="47"/>
      <c r="I652" s="55"/>
      <c r="J652" s="153"/>
    </row>
    <row r="653" spans="2:10" ht="40.5">
      <c r="B653" s="66" t="s">
        <v>833</v>
      </c>
      <c r="C653" s="49" t="s">
        <v>835</v>
      </c>
      <c r="D653" s="50" t="s">
        <v>19</v>
      </c>
      <c r="E653" s="51">
        <f>'[1]13. PISOS'!K324</f>
        <v>369.6</v>
      </c>
      <c r="F653" s="52">
        <f>cd13.2.1</f>
        <v>148393.246291068</v>
      </c>
      <c r="G653" s="53">
        <f>+ROUND((E653*F653),0)</f>
        <v>54846144</v>
      </c>
      <c r="H653" s="68"/>
      <c r="I653" s="55"/>
      <c r="J653" s="153"/>
    </row>
    <row r="654" spans="2:10" ht="40.5">
      <c r="B654" s="66" t="s">
        <v>833</v>
      </c>
      <c r="C654" s="49" t="s">
        <v>836</v>
      </c>
      <c r="D654" s="50" t="s">
        <v>19</v>
      </c>
      <c r="E654" s="51">
        <f>'[1]13. PISOS'!K336</f>
        <v>291.5</v>
      </c>
      <c r="F654" s="52">
        <f>cd13.2.1</f>
        <v>148393.246291068</v>
      </c>
      <c r="G654" s="53">
        <f>+ROUND((E654*F654),0)</f>
        <v>43256631</v>
      </c>
      <c r="H654" s="68"/>
      <c r="I654" s="55"/>
      <c r="J654" s="153"/>
    </row>
    <row r="655" spans="2:10" ht="40.5">
      <c r="B655" s="66" t="s">
        <v>833</v>
      </c>
      <c r="C655" s="49" t="s">
        <v>837</v>
      </c>
      <c r="D655" s="50" t="s">
        <v>19</v>
      </c>
      <c r="E655" s="51">
        <f>'[1]13. PISOS'!K348</f>
        <v>291.5</v>
      </c>
      <c r="F655" s="52">
        <f>cd13.2.1</f>
        <v>148393.246291068</v>
      </c>
      <c r="G655" s="53">
        <f>+ROUND((E655*F655),0)</f>
        <v>43256631</v>
      </c>
      <c r="H655" s="68"/>
      <c r="I655" s="55"/>
      <c r="J655" s="77"/>
    </row>
    <row r="656" spans="2:10">
      <c r="B656" s="85"/>
      <c r="C656" s="154" t="s">
        <v>844</v>
      </c>
      <c r="D656" s="87"/>
      <c r="E656" s="88"/>
      <c r="F656" s="89"/>
      <c r="G656" s="90"/>
      <c r="H656" s="47"/>
      <c r="I656" s="55"/>
      <c r="J656" s="77"/>
    </row>
    <row r="657" spans="2:10" ht="25.5" customHeight="1">
      <c r="B657" s="91" t="s">
        <v>845</v>
      </c>
      <c r="C657" s="92" t="s">
        <v>846</v>
      </c>
      <c r="D657" s="87"/>
      <c r="E657" s="88"/>
      <c r="F657" s="89"/>
      <c r="G657" s="90"/>
      <c r="H657" s="47"/>
      <c r="I657" s="55"/>
      <c r="J657" s="77"/>
    </row>
    <row r="658" spans="2:10" ht="27">
      <c r="B658" s="66" t="s">
        <v>847</v>
      </c>
      <c r="C658" s="49" t="s">
        <v>848</v>
      </c>
      <c r="D658" s="50" t="s">
        <v>54</v>
      </c>
      <c r="E658" s="51">
        <f>'[1]13. PISOS'!K365</f>
        <v>1513.8400000000001</v>
      </c>
      <c r="F658" s="52">
        <f>cd13.4.1</f>
        <v>61953.830698999998</v>
      </c>
      <c r="G658" s="53">
        <f>+ROUND((E658*F658),0)</f>
        <v>93788187</v>
      </c>
      <c r="H658" s="68"/>
      <c r="I658" s="55"/>
      <c r="J658" s="77"/>
    </row>
    <row r="659" spans="2:10" ht="27">
      <c r="B659" s="66" t="s">
        <v>849</v>
      </c>
      <c r="C659" s="49" t="s">
        <v>850</v>
      </c>
      <c r="D659" s="50" t="s">
        <v>54</v>
      </c>
      <c r="E659" s="51">
        <f>'[1]13. PISOS'!K377</f>
        <v>1551.41</v>
      </c>
      <c r="F659" s="52">
        <f>cd13.4.2</f>
        <v>34378.883324199996</v>
      </c>
      <c r="G659" s="53">
        <f>+ROUND((E659*F659),0)</f>
        <v>53335743</v>
      </c>
      <c r="H659" s="68"/>
      <c r="I659" s="55"/>
      <c r="J659" s="77"/>
    </row>
    <row r="660" spans="2:10">
      <c r="B660" s="41">
        <v>14</v>
      </c>
      <c r="C660" s="56" t="s">
        <v>851</v>
      </c>
      <c r="D660" s="57"/>
      <c r="E660" s="58"/>
      <c r="F660" s="65"/>
      <c r="G660" s="60"/>
      <c r="H660" s="47">
        <f>SUM(G661:G669)</f>
        <v>61745468</v>
      </c>
      <c r="I660" s="55"/>
    </row>
    <row r="661" spans="2:10" ht="54" customHeight="1">
      <c r="B661" s="91">
        <v>14.1</v>
      </c>
      <c r="C661" s="92" t="s">
        <v>852</v>
      </c>
      <c r="D661" s="87"/>
      <c r="E661" s="88"/>
      <c r="F661" s="89"/>
      <c r="G661" s="90"/>
      <c r="H661" s="47"/>
      <c r="I661" s="55"/>
    </row>
    <row r="662" spans="2:10">
      <c r="B662" s="66" t="s">
        <v>853</v>
      </c>
      <c r="C662" s="49" t="s">
        <v>854</v>
      </c>
      <c r="D662" s="50" t="s">
        <v>19</v>
      </c>
      <c r="E662" s="51">
        <f>'[1]14. IMPERMEABILIZACION'!K12</f>
        <v>120</v>
      </c>
      <c r="F662" s="52">
        <f>cd14.1.1</f>
        <v>41929.976684120003</v>
      </c>
      <c r="G662" s="53">
        <f>+ROUND((E662*F662),0)</f>
        <v>5031597</v>
      </c>
      <c r="H662" s="68"/>
      <c r="I662" s="55"/>
    </row>
    <row r="663" spans="2:10">
      <c r="B663" s="66" t="s">
        <v>853</v>
      </c>
      <c r="C663" s="49" t="s">
        <v>855</v>
      </c>
      <c r="D663" s="50" t="s">
        <v>19</v>
      </c>
      <c r="E663" s="51">
        <f>'[1]14. IMPERMEABILIZACION'!K25</f>
        <v>418.08159999999998</v>
      </c>
      <c r="F663" s="52">
        <f>cd14.1.1</f>
        <v>41929.976684120003</v>
      </c>
      <c r="G663" s="53">
        <f>+ROUND((E663*F663),0)</f>
        <v>17530152</v>
      </c>
      <c r="H663" s="68"/>
      <c r="I663" s="55"/>
    </row>
    <row r="664" spans="2:10">
      <c r="B664" s="66" t="s">
        <v>853</v>
      </c>
      <c r="C664" s="49" t="s">
        <v>856</v>
      </c>
      <c r="D664" s="50" t="s">
        <v>19</v>
      </c>
      <c r="E664" s="51">
        <f>'[1]14. IMPERMEABILIZACION'!K38</f>
        <v>403.58800000000002</v>
      </c>
      <c r="F664" s="52">
        <f>cd14.1.1</f>
        <v>41929.976684120003</v>
      </c>
      <c r="G664" s="53">
        <f>+ROUND((E664*F664),0)</f>
        <v>16922435</v>
      </c>
      <c r="H664" s="68"/>
      <c r="I664" s="55"/>
    </row>
    <row r="665" spans="2:10">
      <c r="B665" s="66" t="s">
        <v>853</v>
      </c>
      <c r="C665" s="49" t="s">
        <v>857</v>
      </c>
      <c r="D665" s="50" t="s">
        <v>19</v>
      </c>
      <c r="E665" s="51">
        <f>'[1]14. IMPERMEABILIZACION'!K51</f>
        <v>445.45400000000006</v>
      </c>
      <c r="F665" s="52">
        <f>cd14.1.1</f>
        <v>41929.976684120003</v>
      </c>
      <c r="G665" s="53">
        <f>+ROUND((E665*F665),0)</f>
        <v>18677876</v>
      </c>
      <c r="H665" s="68"/>
      <c r="I665" s="55"/>
    </row>
    <row r="666" spans="2:10" ht="55.5" customHeight="1">
      <c r="B666" s="91">
        <v>14.2</v>
      </c>
      <c r="C666" s="92" t="s">
        <v>858</v>
      </c>
      <c r="D666" s="87"/>
      <c r="E666" s="88"/>
      <c r="F666" s="89"/>
      <c r="G666" s="90"/>
      <c r="H666" s="47"/>
      <c r="I666" s="55"/>
    </row>
    <row r="667" spans="2:10">
      <c r="B667" s="66" t="s">
        <v>859</v>
      </c>
      <c r="C667" s="49" t="s">
        <v>860</v>
      </c>
      <c r="D667" s="50" t="s">
        <v>19</v>
      </c>
      <c r="E667" s="51">
        <f>'[1]14. IMPERMEABILIZACION'!K67</f>
        <v>54.704000000000001</v>
      </c>
      <c r="F667" s="52">
        <f>cd14.2.1</f>
        <v>23797.431959559999</v>
      </c>
      <c r="G667" s="53">
        <f>+ROUND((E667*F667),0)</f>
        <v>1301815</v>
      </c>
      <c r="H667" s="68"/>
      <c r="I667" s="55"/>
    </row>
    <row r="668" spans="2:10" ht="51">
      <c r="B668" s="91">
        <v>14.3</v>
      </c>
      <c r="C668" s="92" t="s">
        <v>861</v>
      </c>
      <c r="D668" s="87"/>
      <c r="E668" s="88"/>
      <c r="F668" s="89"/>
      <c r="G668" s="90"/>
      <c r="H668" s="47"/>
      <c r="I668" s="55"/>
    </row>
    <row r="669" spans="2:10" ht="27">
      <c r="B669" s="66" t="s">
        <v>862</v>
      </c>
      <c r="C669" s="49" t="s">
        <v>863</v>
      </c>
      <c r="D669" s="50" t="s">
        <v>19</v>
      </c>
      <c r="E669" s="51">
        <f>'[1]14. IMPERMEABILIZACION'!K80</f>
        <v>54.704000000000001</v>
      </c>
      <c r="F669" s="52">
        <f>cd14.3.1</f>
        <v>41707.980981240005</v>
      </c>
      <c r="G669" s="53">
        <f>+ROUND((E669*F669),0)</f>
        <v>2281593</v>
      </c>
      <c r="H669" s="68"/>
      <c r="I669" s="55"/>
    </row>
    <row r="670" spans="2:10" ht="48.75" customHeight="1">
      <c r="B670" s="41">
        <v>15</v>
      </c>
      <c r="C670" s="56" t="s">
        <v>864</v>
      </c>
      <c r="D670" s="57"/>
      <c r="E670" s="58"/>
      <c r="F670" s="65"/>
      <c r="G670" s="60"/>
      <c r="H670" s="47">
        <f>SUM(G670:G768)</f>
        <v>298862803</v>
      </c>
      <c r="I670" s="55"/>
    </row>
    <row r="671" spans="2:10">
      <c r="B671" s="93"/>
      <c r="C671" s="86" t="s">
        <v>106</v>
      </c>
      <c r="D671" s="94"/>
      <c r="E671" s="95"/>
      <c r="F671" s="89"/>
      <c r="G671" s="90"/>
      <c r="H671" s="47"/>
      <c r="I671" s="55"/>
    </row>
    <row r="672" spans="2:10">
      <c r="B672" s="93"/>
      <c r="C672" s="86" t="s">
        <v>865</v>
      </c>
      <c r="D672" s="94"/>
      <c r="E672" s="95"/>
      <c r="F672" s="89"/>
      <c r="G672" s="90"/>
      <c r="H672" s="47"/>
      <c r="I672" s="55"/>
    </row>
    <row r="673" spans="2:9" ht="80.25" customHeight="1">
      <c r="B673" s="91">
        <v>15.1</v>
      </c>
      <c r="C673" s="92" t="s">
        <v>866</v>
      </c>
      <c r="D673" s="87"/>
      <c r="E673" s="88"/>
      <c r="F673" s="89"/>
      <c r="G673" s="90"/>
      <c r="H673" s="47"/>
      <c r="I673" s="55"/>
    </row>
    <row r="674" spans="2:9" ht="40.5">
      <c r="B674" s="66" t="s">
        <v>867</v>
      </c>
      <c r="C674" s="49" t="s">
        <v>868</v>
      </c>
      <c r="D674" s="50" t="s">
        <v>33</v>
      </c>
      <c r="E674" s="51">
        <f>'[1]15. VENTANERIA'!K11</f>
        <v>18</v>
      </c>
      <c r="F674" s="52">
        <f>cd15.1.1</f>
        <v>231709.91995042501</v>
      </c>
      <c r="G674" s="53">
        <f>+ROUND((E674*F674),0)</f>
        <v>4170779</v>
      </c>
      <c r="H674" s="68"/>
      <c r="I674" s="55"/>
    </row>
    <row r="675" spans="2:9">
      <c r="B675" s="91">
        <v>15.2</v>
      </c>
      <c r="C675" s="92" t="s">
        <v>869</v>
      </c>
      <c r="D675" s="87"/>
      <c r="E675" s="88"/>
      <c r="F675" s="89"/>
      <c r="G675" s="90"/>
      <c r="H675" s="47"/>
      <c r="I675" s="55"/>
    </row>
    <row r="676" spans="2:9" ht="54">
      <c r="B676" s="66" t="s">
        <v>870</v>
      </c>
      <c r="C676" s="49" t="s">
        <v>871</v>
      </c>
      <c r="D676" s="50" t="s">
        <v>33</v>
      </c>
      <c r="E676" s="51">
        <f>'[1]15. VENTANERIA'!J24</f>
        <v>1</v>
      </c>
      <c r="F676" s="52">
        <f>cd15.2.5</f>
        <v>2569770</v>
      </c>
      <c r="G676" s="53">
        <f>+ROUND((E676*F676),0)</f>
        <v>2569770</v>
      </c>
      <c r="H676" s="68"/>
      <c r="I676" s="55"/>
    </row>
    <row r="677" spans="2:9" ht="54">
      <c r="B677" s="66" t="s">
        <v>872</v>
      </c>
      <c r="C677" s="49" t="s">
        <v>873</v>
      </c>
      <c r="D677" s="50" t="s">
        <v>33</v>
      </c>
      <c r="E677" s="51">
        <f>'[1]15. VENTANERIA'!$J$36</f>
        <v>1</v>
      </c>
      <c r="F677" s="52">
        <f>cd15.2.6</f>
        <v>1155000</v>
      </c>
      <c r="G677" s="53">
        <f>+ROUND((E677*F677),0)</f>
        <v>1155000</v>
      </c>
      <c r="H677" s="68"/>
      <c r="I677" s="55"/>
    </row>
    <row r="678" spans="2:9" ht="54">
      <c r="B678" s="66" t="s">
        <v>874</v>
      </c>
      <c r="C678" s="49" t="s">
        <v>875</v>
      </c>
      <c r="D678" s="50" t="s">
        <v>33</v>
      </c>
      <c r="E678" s="51">
        <f>'[1]15. VENTANERIA'!$J$48</f>
        <v>1</v>
      </c>
      <c r="F678" s="52">
        <f>cd15.2.7</f>
        <v>2814677.25</v>
      </c>
      <c r="G678" s="53">
        <f>+ROUND((E678*F678),0)</f>
        <v>2814677</v>
      </c>
      <c r="H678" s="68"/>
      <c r="I678" s="55"/>
    </row>
    <row r="679" spans="2:9">
      <c r="B679" s="93"/>
      <c r="C679" s="86" t="s">
        <v>876</v>
      </c>
      <c r="D679" s="94"/>
      <c r="E679" s="95"/>
      <c r="F679" s="89"/>
      <c r="G679" s="90"/>
      <c r="H679" s="47"/>
      <c r="I679" s="55"/>
    </row>
    <row r="680" spans="2:9" ht="84" customHeight="1">
      <c r="B680" s="91">
        <v>15.1</v>
      </c>
      <c r="C680" s="92" t="s">
        <v>866</v>
      </c>
      <c r="D680" s="87"/>
      <c r="E680" s="88"/>
      <c r="F680" s="89"/>
      <c r="G680" s="90"/>
      <c r="H680" s="47"/>
      <c r="I680" s="55"/>
    </row>
    <row r="681" spans="2:9" ht="40.5">
      <c r="B681" s="66" t="s">
        <v>867</v>
      </c>
      <c r="C681" s="49" t="s">
        <v>868</v>
      </c>
      <c r="D681" s="50" t="s">
        <v>33</v>
      </c>
      <c r="E681" s="51">
        <f>'[1]15. VENTANERIA'!$K$61</f>
        <v>24</v>
      </c>
      <c r="F681" s="52">
        <f>cd15.1.1</f>
        <v>231709.91995042501</v>
      </c>
      <c r="G681" s="53">
        <f>+ROUND((E681*F681),0)</f>
        <v>5561038</v>
      </c>
      <c r="H681" s="68"/>
      <c r="I681" s="55"/>
    </row>
    <row r="682" spans="2:9">
      <c r="B682" s="91">
        <v>15.2</v>
      </c>
      <c r="C682" s="92" t="s">
        <v>869</v>
      </c>
      <c r="D682" s="87"/>
      <c r="E682" s="88"/>
      <c r="F682" s="89"/>
      <c r="G682" s="90"/>
      <c r="H682" s="47"/>
      <c r="I682" s="55"/>
    </row>
    <row r="683" spans="2:9" ht="54">
      <c r="B683" s="66" t="s">
        <v>877</v>
      </c>
      <c r="C683" s="49" t="s">
        <v>878</v>
      </c>
      <c r="D683" s="50" t="s">
        <v>33</v>
      </c>
      <c r="E683" s="51">
        <f>'[1]15. VENTANERIA'!$J$74</f>
        <v>2</v>
      </c>
      <c r="F683" s="52">
        <f>cd15.2.4</f>
        <v>1284885</v>
      </c>
      <c r="G683" s="53">
        <f>+ROUND((E683*F683),0)</f>
        <v>2569770</v>
      </c>
      <c r="H683" s="68"/>
      <c r="I683" s="55"/>
    </row>
    <row r="684" spans="2:9" ht="54">
      <c r="B684" s="66" t="s">
        <v>872</v>
      </c>
      <c r="C684" s="49" t="s">
        <v>873</v>
      </c>
      <c r="D684" s="50" t="s">
        <v>33</v>
      </c>
      <c r="E684" s="51">
        <f>'[1]15. VENTANERIA'!$J$86</f>
        <v>1</v>
      </c>
      <c r="F684" s="52">
        <f>cd15.2.6</f>
        <v>1155000</v>
      </c>
      <c r="G684" s="53">
        <f>+ROUND((E684*F684),0)</f>
        <v>1155000</v>
      </c>
      <c r="H684" s="68"/>
      <c r="I684" s="55"/>
    </row>
    <row r="685" spans="2:9">
      <c r="B685" s="93"/>
      <c r="C685" s="86" t="s">
        <v>879</v>
      </c>
      <c r="D685" s="94"/>
      <c r="E685" s="95"/>
      <c r="F685" s="89"/>
      <c r="G685" s="90"/>
      <c r="H685" s="47"/>
      <c r="I685" s="55"/>
    </row>
    <row r="686" spans="2:9" ht="87" customHeight="1">
      <c r="B686" s="91">
        <v>15.1</v>
      </c>
      <c r="C686" s="92" t="s">
        <v>866</v>
      </c>
      <c r="D686" s="87"/>
      <c r="E686" s="88"/>
      <c r="F686" s="89"/>
      <c r="G686" s="90"/>
      <c r="H686" s="47"/>
      <c r="I686" s="55"/>
    </row>
    <row r="687" spans="2:9" ht="40.5">
      <c r="B687" s="66" t="s">
        <v>867</v>
      </c>
      <c r="C687" s="49" t="s">
        <v>868</v>
      </c>
      <c r="D687" s="50" t="s">
        <v>33</v>
      </c>
      <c r="E687" s="51">
        <f>'[1]15. VENTANERIA'!$K$99</f>
        <v>24</v>
      </c>
      <c r="F687" s="52">
        <f>cd15.1.1</f>
        <v>231709.91995042501</v>
      </c>
      <c r="G687" s="53">
        <f>+ROUND((E687*F687),0)</f>
        <v>5561038</v>
      </c>
      <c r="H687" s="68"/>
      <c r="I687" s="55"/>
    </row>
    <row r="688" spans="2:9">
      <c r="B688" s="91">
        <v>15.2</v>
      </c>
      <c r="C688" s="92" t="s">
        <v>869</v>
      </c>
      <c r="D688" s="87"/>
      <c r="E688" s="88"/>
      <c r="F688" s="89"/>
      <c r="G688" s="90"/>
      <c r="H688" s="47"/>
      <c r="I688" s="55"/>
    </row>
    <row r="689" spans="2:9" ht="54">
      <c r="B689" s="66" t="s">
        <v>877</v>
      </c>
      <c r="C689" s="49" t="s">
        <v>878</v>
      </c>
      <c r="D689" s="50" t="s">
        <v>33</v>
      </c>
      <c r="E689" s="51">
        <f>'[1]15. VENTANERIA'!$J$112</f>
        <v>2</v>
      </c>
      <c r="F689" s="52">
        <f>cd15.2.4</f>
        <v>1284885</v>
      </c>
      <c r="G689" s="53">
        <f>+ROUND((E689*F689),0)</f>
        <v>2569770</v>
      </c>
      <c r="H689" s="68"/>
      <c r="I689" s="55"/>
    </row>
    <row r="690" spans="2:9" ht="54">
      <c r="B690" s="66" t="s">
        <v>872</v>
      </c>
      <c r="C690" s="49" t="s">
        <v>873</v>
      </c>
      <c r="D690" s="50" t="s">
        <v>33</v>
      </c>
      <c r="E690" s="51">
        <f>'[1]15. VENTANERIA'!$J$124</f>
        <v>1</v>
      </c>
      <c r="F690" s="52">
        <f>cd15.2.6</f>
        <v>1155000</v>
      </c>
      <c r="G690" s="53">
        <f>+ROUND((E690*F690),0)</f>
        <v>1155000</v>
      </c>
      <c r="H690" s="68"/>
      <c r="I690" s="55"/>
    </row>
    <row r="691" spans="2:9">
      <c r="B691" s="93"/>
      <c r="C691" s="86" t="s">
        <v>113</v>
      </c>
      <c r="D691" s="94"/>
      <c r="E691" s="95"/>
      <c r="F691" s="89"/>
      <c r="G691" s="90"/>
      <c r="H691" s="47"/>
      <c r="I691" s="55"/>
    </row>
    <row r="692" spans="2:9">
      <c r="B692" s="93"/>
      <c r="C692" s="86" t="s">
        <v>865</v>
      </c>
      <c r="D692" s="94"/>
      <c r="E692" s="95"/>
      <c r="F692" s="89"/>
      <c r="G692" s="90"/>
      <c r="H692" s="47"/>
      <c r="I692" s="55"/>
    </row>
    <row r="693" spans="2:9">
      <c r="B693" s="91">
        <v>15.2</v>
      </c>
      <c r="C693" s="92" t="s">
        <v>869</v>
      </c>
      <c r="D693" s="87"/>
      <c r="E693" s="88"/>
      <c r="F693" s="89"/>
      <c r="G693" s="90"/>
      <c r="H693" s="47"/>
      <c r="I693" s="55"/>
    </row>
    <row r="694" spans="2:9" ht="54">
      <c r="B694" s="66" t="s">
        <v>872</v>
      </c>
      <c r="C694" s="49" t="s">
        <v>873</v>
      </c>
      <c r="D694" s="50" t="s">
        <v>33</v>
      </c>
      <c r="E694" s="51">
        <f>'[1]15. VENTANERIA'!$J$140</f>
        <v>3</v>
      </c>
      <c r="F694" s="52">
        <f>cd15.2.6</f>
        <v>1155000</v>
      </c>
      <c r="G694" s="53">
        <f>+ROUND((E694*F694),0)</f>
        <v>3465000</v>
      </c>
      <c r="H694" s="68"/>
      <c r="I694" s="55"/>
    </row>
    <row r="695" spans="2:9">
      <c r="B695" s="93"/>
      <c r="C695" s="86" t="s">
        <v>876</v>
      </c>
      <c r="D695" s="94"/>
      <c r="E695" s="95"/>
      <c r="F695" s="89"/>
      <c r="G695" s="90"/>
      <c r="H695" s="47"/>
      <c r="I695" s="55"/>
    </row>
    <row r="696" spans="2:9" ht="80.25" customHeight="1">
      <c r="B696" s="91">
        <v>15.1</v>
      </c>
      <c r="C696" s="92" t="s">
        <v>866</v>
      </c>
      <c r="D696" s="87"/>
      <c r="E696" s="88"/>
      <c r="F696" s="89"/>
      <c r="G696" s="90"/>
      <c r="H696" s="47"/>
      <c r="I696" s="55"/>
    </row>
    <row r="697" spans="2:9" ht="40.5">
      <c r="B697" s="66" t="s">
        <v>867</v>
      </c>
      <c r="C697" s="49" t="s">
        <v>868</v>
      </c>
      <c r="D697" s="50" t="s">
        <v>33</v>
      </c>
      <c r="E697" s="51">
        <f>'[1]15. VENTANERIA'!$K$153</f>
        <v>18</v>
      </c>
      <c r="F697" s="52">
        <f>cd15.1.1</f>
        <v>231709.91995042501</v>
      </c>
      <c r="G697" s="53">
        <f>+ROUND((E697*F697),0)</f>
        <v>4170779</v>
      </c>
      <c r="H697" s="68"/>
      <c r="I697" s="55"/>
    </row>
    <row r="698" spans="2:9">
      <c r="B698" s="91">
        <v>15.2</v>
      </c>
      <c r="C698" s="92" t="s">
        <v>869</v>
      </c>
      <c r="D698" s="87"/>
      <c r="E698" s="88"/>
      <c r="F698" s="89"/>
      <c r="G698" s="90"/>
      <c r="H698" s="47"/>
      <c r="I698" s="55"/>
    </row>
    <row r="699" spans="2:9" ht="54">
      <c r="B699" s="66" t="s">
        <v>880</v>
      </c>
      <c r="C699" s="49" t="s">
        <v>881</v>
      </c>
      <c r="D699" s="50" t="s">
        <v>33</v>
      </c>
      <c r="E699" s="51">
        <f>'[1]15. VENTANERIA'!$J$166</f>
        <v>1</v>
      </c>
      <c r="F699" s="52">
        <f>cd15.2.3</f>
        <v>1690500</v>
      </c>
      <c r="G699" s="53">
        <f>+ROUND((E699*F699),0)</f>
        <v>1690500</v>
      </c>
      <c r="H699" s="68"/>
      <c r="I699" s="55"/>
    </row>
    <row r="700" spans="2:9" ht="54">
      <c r="B700" s="66" t="s">
        <v>877</v>
      </c>
      <c r="C700" s="49" t="s">
        <v>878</v>
      </c>
      <c r="D700" s="50" t="s">
        <v>33</v>
      </c>
      <c r="E700" s="51">
        <f>'[1]15. VENTANERIA'!$J$178</f>
        <v>7</v>
      </c>
      <c r="F700" s="52">
        <f>cd15.2.4</f>
        <v>1284885</v>
      </c>
      <c r="G700" s="53">
        <f>+ROUND((E700*F700),0)</f>
        <v>8994195</v>
      </c>
      <c r="H700" s="68"/>
      <c r="I700" s="55"/>
    </row>
    <row r="701" spans="2:9">
      <c r="B701" s="93"/>
      <c r="C701" s="86" t="s">
        <v>879</v>
      </c>
      <c r="D701" s="94"/>
      <c r="E701" s="95"/>
      <c r="F701" s="89"/>
      <c r="G701" s="90"/>
      <c r="H701" s="47"/>
      <c r="I701" s="55"/>
    </row>
    <row r="702" spans="2:9" ht="80.25" customHeight="1">
      <c r="B702" s="91">
        <v>15.1</v>
      </c>
      <c r="C702" s="92" t="s">
        <v>866</v>
      </c>
      <c r="D702" s="87"/>
      <c r="E702" s="88"/>
      <c r="F702" s="89"/>
      <c r="G702" s="90"/>
      <c r="H702" s="47"/>
      <c r="I702" s="55"/>
    </row>
    <row r="703" spans="2:9" ht="40.5">
      <c r="B703" s="66" t="s">
        <v>867</v>
      </c>
      <c r="C703" s="49" t="s">
        <v>868</v>
      </c>
      <c r="D703" s="50" t="s">
        <v>33</v>
      </c>
      <c r="E703" s="51">
        <f>'[1]15. VENTANERIA'!$K$191</f>
        <v>36</v>
      </c>
      <c r="F703" s="52">
        <f>cd15.1.1</f>
        <v>231709.91995042501</v>
      </c>
      <c r="G703" s="53">
        <f>+ROUND((E703*F703),0)</f>
        <v>8341557</v>
      </c>
      <c r="H703" s="68"/>
      <c r="I703" s="55"/>
    </row>
    <row r="704" spans="2:9">
      <c r="B704" s="91">
        <v>15.2</v>
      </c>
      <c r="C704" s="92" t="s">
        <v>869</v>
      </c>
      <c r="D704" s="87"/>
      <c r="E704" s="88"/>
      <c r="F704" s="89"/>
      <c r="G704" s="90"/>
      <c r="H704" s="47"/>
      <c r="I704" s="55"/>
    </row>
    <row r="705" spans="2:9" ht="54">
      <c r="B705" s="66" t="s">
        <v>880</v>
      </c>
      <c r="C705" s="49" t="s">
        <v>881</v>
      </c>
      <c r="D705" s="50" t="s">
        <v>33</v>
      </c>
      <c r="E705" s="51">
        <f>'[1]15. VENTANERIA'!$J$204</f>
        <v>2</v>
      </c>
      <c r="F705" s="52">
        <f>cd15.2.3</f>
        <v>1690500</v>
      </c>
      <c r="G705" s="53">
        <f>+ROUND((E705*F705),0)</f>
        <v>3381000</v>
      </c>
      <c r="H705" s="68"/>
      <c r="I705" s="55"/>
    </row>
    <row r="706" spans="2:9" ht="54">
      <c r="B706" s="66" t="s">
        <v>877</v>
      </c>
      <c r="C706" s="49" t="s">
        <v>878</v>
      </c>
      <c r="D706" s="50" t="s">
        <v>33</v>
      </c>
      <c r="E706" s="51">
        <f>'[1]15. VENTANERIA'!$J$216</f>
        <v>8</v>
      </c>
      <c r="F706" s="52">
        <f>cd15.2.4</f>
        <v>1284885</v>
      </c>
      <c r="G706" s="53">
        <f>+ROUND((E706*F706),0)</f>
        <v>10279080</v>
      </c>
      <c r="H706" s="68"/>
      <c r="I706" s="55"/>
    </row>
    <row r="707" spans="2:9">
      <c r="B707" s="93"/>
      <c r="C707" s="86" t="s">
        <v>882</v>
      </c>
      <c r="D707" s="94"/>
      <c r="E707" s="95"/>
      <c r="F707" s="89"/>
      <c r="G707" s="90"/>
      <c r="H707" s="47"/>
      <c r="I707" s="55"/>
    </row>
    <row r="708" spans="2:9" ht="81.75" customHeight="1">
      <c r="B708" s="91">
        <v>15.1</v>
      </c>
      <c r="C708" s="92" t="s">
        <v>866</v>
      </c>
      <c r="D708" s="87"/>
      <c r="E708" s="88"/>
      <c r="F708" s="89"/>
      <c r="G708" s="90"/>
      <c r="H708" s="47"/>
      <c r="I708" s="55"/>
    </row>
    <row r="709" spans="2:9" ht="40.5">
      <c r="B709" s="66" t="s">
        <v>867</v>
      </c>
      <c r="C709" s="49" t="s">
        <v>868</v>
      </c>
      <c r="D709" s="50" t="s">
        <v>33</v>
      </c>
      <c r="E709" s="51">
        <f>'[1]15. VENTANERIA'!$K$229</f>
        <v>36</v>
      </c>
      <c r="F709" s="52">
        <f>cd15.1.1</f>
        <v>231709.91995042501</v>
      </c>
      <c r="G709" s="53">
        <f>+ROUND((E709*F709),0)</f>
        <v>8341557</v>
      </c>
      <c r="H709" s="68"/>
      <c r="I709" s="55"/>
    </row>
    <row r="710" spans="2:9">
      <c r="B710" s="91">
        <v>15.2</v>
      </c>
      <c r="C710" s="92" t="s">
        <v>869</v>
      </c>
      <c r="D710" s="87"/>
      <c r="E710" s="88"/>
      <c r="F710" s="89"/>
      <c r="G710" s="90"/>
      <c r="H710" s="47"/>
      <c r="I710" s="55"/>
    </row>
    <row r="711" spans="2:9" ht="54">
      <c r="B711" s="66" t="s">
        <v>883</v>
      </c>
      <c r="C711" s="49" t="s">
        <v>884</v>
      </c>
      <c r="D711" s="50" t="s">
        <v>33</v>
      </c>
      <c r="E711" s="51">
        <f>'[1]15. VENTANERIA'!$J$242</f>
        <v>1</v>
      </c>
      <c r="F711" s="52">
        <f>cd15.2.2</f>
        <v>942900</v>
      </c>
      <c r="G711" s="53">
        <f>+ROUND((E711*F711),0)</f>
        <v>942900</v>
      </c>
      <c r="H711" s="68"/>
      <c r="I711" s="55"/>
    </row>
    <row r="712" spans="2:9" ht="54">
      <c r="B712" s="66" t="s">
        <v>880</v>
      </c>
      <c r="C712" s="49" t="s">
        <v>881</v>
      </c>
      <c r="D712" s="50" t="s">
        <v>33</v>
      </c>
      <c r="E712" s="51">
        <f>'[1]15. VENTANERIA'!$J$254</f>
        <v>2</v>
      </c>
      <c r="F712" s="52">
        <f>cd15.2.3</f>
        <v>1690500</v>
      </c>
      <c r="G712" s="53">
        <f>+ROUND((E712*F712),0)</f>
        <v>3381000</v>
      </c>
      <c r="H712" s="68"/>
      <c r="I712" s="55"/>
    </row>
    <row r="713" spans="2:9" ht="54">
      <c r="B713" s="66" t="s">
        <v>877</v>
      </c>
      <c r="C713" s="49" t="s">
        <v>878</v>
      </c>
      <c r="D713" s="50" t="s">
        <v>33</v>
      </c>
      <c r="E713" s="51">
        <f>'[1]15. VENTANERIA'!$J$266</f>
        <v>2</v>
      </c>
      <c r="F713" s="52">
        <f>cd15.2.4</f>
        <v>1284885</v>
      </c>
      <c r="G713" s="53">
        <f>+ROUND((E713*F713),0)</f>
        <v>2569770</v>
      </c>
      <c r="H713" s="68"/>
      <c r="I713" s="55"/>
    </row>
    <row r="714" spans="2:9">
      <c r="B714" s="93"/>
      <c r="C714" s="86" t="s">
        <v>118</v>
      </c>
      <c r="D714" s="94"/>
      <c r="E714" s="95"/>
      <c r="F714" s="89"/>
      <c r="G714" s="90"/>
      <c r="H714" s="47"/>
      <c r="I714" s="55"/>
    </row>
    <row r="715" spans="2:9">
      <c r="B715" s="93"/>
      <c r="C715" s="86" t="s">
        <v>865</v>
      </c>
      <c r="D715" s="94"/>
      <c r="E715" s="95"/>
      <c r="F715" s="89"/>
      <c r="G715" s="90"/>
      <c r="H715" s="47"/>
      <c r="I715" s="55"/>
    </row>
    <row r="716" spans="2:9" ht="84" customHeight="1">
      <c r="B716" s="91">
        <v>15.1</v>
      </c>
      <c r="C716" s="92" t="s">
        <v>866</v>
      </c>
      <c r="D716" s="87"/>
      <c r="E716" s="88"/>
      <c r="F716" s="89"/>
      <c r="G716" s="90"/>
      <c r="H716" s="47"/>
      <c r="I716" s="55"/>
    </row>
    <row r="717" spans="2:9" ht="40.5">
      <c r="B717" s="66" t="s">
        <v>867</v>
      </c>
      <c r="C717" s="49" t="s">
        <v>868</v>
      </c>
      <c r="D717" s="50" t="s">
        <v>33</v>
      </c>
      <c r="E717" s="51">
        <f>'[1]15. VENTANERIA'!$K$282</f>
        <v>6</v>
      </c>
      <c r="F717" s="52">
        <f>cd15.1.1</f>
        <v>231709.91995042501</v>
      </c>
      <c r="G717" s="53">
        <f>+ROUND((E717*F717),0)</f>
        <v>1390260</v>
      </c>
      <c r="H717" s="68"/>
      <c r="I717" s="55"/>
    </row>
    <row r="718" spans="2:9">
      <c r="B718" s="91">
        <v>15.2</v>
      </c>
      <c r="C718" s="92" t="s">
        <v>869</v>
      </c>
      <c r="D718" s="87"/>
      <c r="E718" s="88"/>
      <c r="F718" s="89"/>
      <c r="G718" s="90"/>
      <c r="H718" s="47"/>
      <c r="I718" s="55"/>
    </row>
    <row r="719" spans="2:9" ht="54">
      <c r="B719" s="66" t="s">
        <v>885</v>
      </c>
      <c r="C719" s="49" t="s">
        <v>886</v>
      </c>
      <c r="D719" s="50" t="s">
        <v>33</v>
      </c>
      <c r="E719" s="51">
        <f>'[1]15. VENTANERIA'!$J$295</f>
        <v>4</v>
      </c>
      <c r="F719" s="52">
        <f>cd15.2.1</f>
        <v>1212750</v>
      </c>
      <c r="G719" s="53">
        <f>+ROUND((E719*F719),0)</f>
        <v>4851000</v>
      </c>
      <c r="H719" s="68"/>
      <c r="I719" s="55"/>
    </row>
    <row r="720" spans="2:9" ht="54">
      <c r="B720" s="66" t="s">
        <v>880</v>
      </c>
      <c r="C720" s="49" t="s">
        <v>881</v>
      </c>
      <c r="D720" s="50" t="s">
        <v>33</v>
      </c>
      <c r="E720" s="51">
        <f>'[1]15. VENTANERIA'!$J$307</f>
        <v>2</v>
      </c>
      <c r="F720" s="52">
        <f>cd15.2.3</f>
        <v>1690500</v>
      </c>
      <c r="G720" s="53">
        <f>+ROUND((E720*F720),0)</f>
        <v>3381000</v>
      </c>
      <c r="H720" s="68"/>
      <c r="I720" s="55"/>
    </row>
    <row r="721" spans="2:9">
      <c r="B721" s="93"/>
      <c r="C721" s="86" t="s">
        <v>876</v>
      </c>
      <c r="D721" s="94"/>
      <c r="E721" s="95"/>
      <c r="F721" s="89"/>
      <c r="G721" s="90"/>
      <c r="H721" s="47"/>
      <c r="I721" s="55"/>
    </row>
    <row r="722" spans="2:9" ht="86.25" customHeight="1">
      <c r="B722" s="91">
        <v>15.1</v>
      </c>
      <c r="C722" s="92" t="s">
        <v>866</v>
      </c>
      <c r="D722" s="87"/>
      <c r="E722" s="88"/>
      <c r="F722" s="89"/>
      <c r="G722" s="90"/>
      <c r="H722" s="47"/>
      <c r="I722" s="55"/>
    </row>
    <row r="723" spans="2:9" ht="40.5">
      <c r="B723" s="66" t="s">
        <v>867</v>
      </c>
      <c r="C723" s="49" t="s">
        <v>868</v>
      </c>
      <c r="D723" s="50" t="s">
        <v>33</v>
      </c>
      <c r="E723" s="51">
        <f>'[1]15. VENTANERIA'!$K$320</f>
        <v>36</v>
      </c>
      <c r="F723" s="52">
        <f>cd15.1.1</f>
        <v>231709.91995042501</v>
      </c>
      <c r="G723" s="53">
        <f>+ROUND((E723*F723),0)</f>
        <v>8341557</v>
      </c>
      <c r="H723" s="68"/>
      <c r="I723" s="55"/>
    </row>
    <row r="724" spans="2:9">
      <c r="B724" s="91">
        <v>15.2</v>
      </c>
      <c r="C724" s="92" t="s">
        <v>869</v>
      </c>
      <c r="D724" s="87"/>
      <c r="E724" s="88"/>
      <c r="F724" s="89"/>
      <c r="G724" s="90"/>
      <c r="H724" s="47"/>
      <c r="I724" s="55"/>
    </row>
    <row r="725" spans="2:9" ht="54">
      <c r="B725" s="66" t="s">
        <v>880</v>
      </c>
      <c r="C725" s="49" t="s">
        <v>881</v>
      </c>
      <c r="D725" s="50" t="s">
        <v>33</v>
      </c>
      <c r="E725" s="51">
        <f>'[1]15. VENTANERIA'!$J$333</f>
        <v>2</v>
      </c>
      <c r="F725" s="52">
        <f>cd15.2.3</f>
        <v>1690500</v>
      </c>
      <c r="G725" s="53">
        <f>+ROUND((E725*F725),0)</f>
        <v>3381000</v>
      </c>
      <c r="H725" s="68"/>
      <c r="I725" s="55"/>
    </row>
    <row r="726" spans="2:9" ht="54">
      <c r="B726" s="66" t="s">
        <v>877</v>
      </c>
      <c r="C726" s="49" t="s">
        <v>878</v>
      </c>
      <c r="D726" s="50" t="s">
        <v>33</v>
      </c>
      <c r="E726" s="51">
        <f>'[1]15. VENTANERIA'!$J$345</f>
        <v>3</v>
      </c>
      <c r="F726" s="52">
        <f>cd15.2.4</f>
        <v>1284885</v>
      </c>
      <c r="G726" s="53">
        <f>+ROUND((E726*F726),0)</f>
        <v>3854655</v>
      </c>
      <c r="H726" s="68"/>
      <c r="I726" s="55"/>
    </row>
    <row r="727" spans="2:9">
      <c r="B727" s="93"/>
      <c r="C727" s="86" t="s">
        <v>879</v>
      </c>
      <c r="D727" s="94"/>
      <c r="E727" s="95"/>
      <c r="F727" s="89"/>
      <c r="G727" s="90"/>
      <c r="H727" s="47"/>
      <c r="I727" s="55"/>
    </row>
    <row r="728" spans="2:9" ht="84.75" customHeight="1">
      <c r="B728" s="91">
        <v>15.1</v>
      </c>
      <c r="C728" s="92" t="s">
        <v>866</v>
      </c>
      <c r="D728" s="87"/>
      <c r="E728" s="88"/>
      <c r="F728" s="89"/>
      <c r="G728" s="90"/>
      <c r="H728" s="47"/>
      <c r="I728" s="55"/>
    </row>
    <row r="729" spans="2:9" ht="40.5">
      <c r="B729" s="66" t="s">
        <v>867</v>
      </c>
      <c r="C729" s="49" t="s">
        <v>868</v>
      </c>
      <c r="D729" s="50" t="s">
        <v>33</v>
      </c>
      <c r="E729" s="51">
        <f>'[1]15. VENTANERIA'!$K$358</f>
        <v>36</v>
      </c>
      <c r="F729" s="52">
        <f>cd15.1.1</f>
        <v>231709.91995042501</v>
      </c>
      <c r="G729" s="53">
        <f>+ROUND((E729*F729),0)</f>
        <v>8341557</v>
      </c>
      <c r="H729" s="68"/>
      <c r="I729" s="55"/>
    </row>
    <row r="730" spans="2:9">
      <c r="B730" s="91">
        <v>15.2</v>
      </c>
      <c r="C730" s="92" t="s">
        <v>869</v>
      </c>
      <c r="D730" s="87"/>
      <c r="E730" s="88"/>
      <c r="F730" s="89"/>
      <c r="G730" s="90"/>
      <c r="H730" s="47"/>
      <c r="I730" s="55"/>
    </row>
    <row r="731" spans="2:9" ht="54">
      <c r="B731" s="66" t="s">
        <v>880</v>
      </c>
      <c r="C731" s="49" t="s">
        <v>881</v>
      </c>
      <c r="D731" s="50" t="s">
        <v>33</v>
      </c>
      <c r="E731" s="51">
        <f>'[1]15. VENTANERIA'!$J$371</f>
        <v>2</v>
      </c>
      <c r="F731" s="52">
        <f>cd15.2.3</f>
        <v>1690500</v>
      </c>
      <c r="G731" s="53">
        <f>+ROUND((E731*F731),0)</f>
        <v>3381000</v>
      </c>
      <c r="H731" s="68"/>
      <c r="I731" s="55"/>
    </row>
    <row r="732" spans="2:9" ht="54">
      <c r="B732" s="66" t="s">
        <v>877</v>
      </c>
      <c r="C732" s="49" t="s">
        <v>878</v>
      </c>
      <c r="D732" s="50" t="s">
        <v>33</v>
      </c>
      <c r="E732" s="51">
        <f>'[1]15. VENTANERIA'!$J$383</f>
        <v>4</v>
      </c>
      <c r="F732" s="52">
        <f>cd15.2.4</f>
        <v>1284885</v>
      </c>
      <c r="G732" s="53">
        <f>+ROUND((E732*F732),0)</f>
        <v>5139540</v>
      </c>
      <c r="H732" s="68"/>
      <c r="I732" s="55"/>
    </row>
    <row r="733" spans="2:9">
      <c r="B733" s="93"/>
      <c r="C733" s="86" t="s">
        <v>882</v>
      </c>
      <c r="D733" s="94"/>
      <c r="E733" s="95"/>
      <c r="F733" s="89"/>
      <c r="G733" s="90"/>
      <c r="H733" s="47"/>
      <c r="I733" s="55"/>
    </row>
    <row r="734" spans="2:9" ht="78.75" customHeight="1">
      <c r="B734" s="91">
        <v>15.1</v>
      </c>
      <c r="C734" s="92" t="s">
        <v>866</v>
      </c>
      <c r="D734" s="87"/>
      <c r="E734" s="88"/>
      <c r="F734" s="89"/>
      <c r="G734" s="90"/>
      <c r="H734" s="47"/>
      <c r="I734" s="55"/>
    </row>
    <row r="735" spans="2:9" ht="40.5">
      <c r="B735" s="66" t="s">
        <v>867</v>
      </c>
      <c r="C735" s="49" t="s">
        <v>868</v>
      </c>
      <c r="D735" s="50" t="s">
        <v>33</v>
      </c>
      <c r="E735" s="51">
        <f>'[1]15. VENTANERIA'!$K$396</f>
        <v>36</v>
      </c>
      <c r="F735" s="52">
        <f>cd15.1.1</f>
        <v>231709.91995042501</v>
      </c>
      <c r="G735" s="53">
        <f>+ROUND((E735*F735),0)</f>
        <v>8341557</v>
      </c>
      <c r="H735" s="68"/>
      <c r="I735" s="55"/>
    </row>
    <row r="736" spans="2:9">
      <c r="B736" s="91">
        <v>15.2</v>
      </c>
      <c r="C736" s="92" t="s">
        <v>869</v>
      </c>
      <c r="D736" s="87"/>
      <c r="E736" s="88"/>
      <c r="F736" s="89"/>
      <c r="G736" s="90"/>
      <c r="H736" s="47"/>
      <c r="I736" s="55"/>
    </row>
    <row r="737" spans="2:9" ht="54">
      <c r="B737" s="66" t="s">
        <v>880</v>
      </c>
      <c r="C737" s="49" t="s">
        <v>881</v>
      </c>
      <c r="D737" s="50" t="s">
        <v>33</v>
      </c>
      <c r="E737" s="51">
        <f>'[1]15. VENTANERIA'!$J$409</f>
        <v>2</v>
      </c>
      <c r="F737" s="52">
        <f>cd15.2.3</f>
        <v>1690500</v>
      </c>
      <c r="G737" s="53">
        <f>+ROUND((E737*F737),0)</f>
        <v>3381000</v>
      </c>
      <c r="H737" s="68"/>
      <c r="I737" s="55"/>
    </row>
    <row r="738" spans="2:9" ht="54">
      <c r="B738" s="66" t="s">
        <v>877</v>
      </c>
      <c r="C738" s="49" t="s">
        <v>878</v>
      </c>
      <c r="D738" s="50" t="s">
        <v>33</v>
      </c>
      <c r="E738" s="51">
        <f>'[1]15. VENTANERIA'!$J$421</f>
        <v>4</v>
      </c>
      <c r="F738" s="52">
        <f>cd15.2.4</f>
        <v>1284885</v>
      </c>
      <c r="G738" s="53">
        <f>+ROUND((E738*F738),0)</f>
        <v>5139540</v>
      </c>
      <c r="H738" s="68"/>
      <c r="I738" s="55"/>
    </row>
    <row r="739" spans="2:9">
      <c r="B739" s="93"/>
      <c r="C739" s="86" t="s">
        <v>120</v>
      </c>
      <c r="D739" s="94"/>
      <c r="E739" s="95"/>
      <c r="F739" s="89"/>
      <c r="G739" s="90"/>
      <c r="H739" s="47"/>
      <c r="I739" s="55"/>
    </row>
    <row r="740" spans="2:9">
      <c r="B740" s="93"/>
      <c r="C740" s="86" t="s">
        <v>865</v>
      </c>
      <c r="D740" s="94"/>
      <c r="E740" s="95"/>
      <c r="F740" s="89"/>
      <c r="G740" s="90"/>
      <c r="H740" s="47"/>
      <c r="I740" s="55"/>
    </row>
    <row r="741" spans="2:9" ht="81" customHeight="1">
      <c r="B741" s="91">
        <v>15.1</v>
      </c>
      <c r="C741" s="92" t="s">
        <v>866</v>
      </c>
      <c r="D741" s="87"/>
      <c r="E741" s="88"/>
      <c r="F741" s="89"/>
      <c r="G741" s="90"/>
      <c r="H741" s="47"/>
      <c r="I741" s="55"/>
    </row>
    <row r="742" spans="2:9" ht="40.5">
      <c r="B742" s="66" t="s">
        <v>867</v>
      </c>
      <c r="C742" s="49" t="s">
        <v>868</v>
      </c>
      <c r="D742" s="50" t="s">
        <v>33</v>
      </c>
      <c r="E742" s="51">
        <f>'[1]15. VENTANERIA'!$K$437</f>
        <v>6</v>
      </c>
      <c r="F742" s="52">
        <f>cd15.1.1</f>
        <v>231709.91995042501</v>
      </c>
      <c r="G742" s="53">
        <f>+ROUND((E742*F742),0)</f>
        <v>1390260</v>
      </c>
      <c r="H742" s="68"/>
      <c r="I742" s="55"/>
    </row>
    <row r="743" spans="2:9">
      <c r="B743" s="85">
        <v>15.2</v>
      </c>
      <c r="C743" s="86" t="s">
        <v>869</v>
      </c>
      <c r="D743" s="87"/>
      <c r="E743" s="88"/>
      <c r="F743" s="89"/>
      <c r="G743" s="90"/>
      <c r="H743" s="47"/>
      <c r="I743" s="55"/>
    </row>
    <row r="744" spans="2:9">
      <c r="B744" s="93"/>
      <c r="C744" s="86" t="s">
        <v>876</v>
      </c>
      <c r="D744" s="94"/>
      <c r="E744" s="95"/>
      <c r="F744" s="89"/>
      <c r="G744" s="90"/>
      <c r="H744" s="47"/>
      <c r="I744" s="55"/>
    </row>
    <row r="745" spans="2:9" ht="78.75" customHeight="1">
      <c r="B745" s="91">
        <v>15.1</v>
      </c>
      <c r="C745" s="92" t="s">
        <v>866</v>
      </c>
      <c r="D745" s="87"/>
      <c r="E745" s="88"/>
      <c r="F745" s="89"/>
      <c r="G745" s="90"/>
      <c r="H745" s="47"/>
      <c r="I745" s="55"/>
    </row>
    <row r="746" spans="2:9" ht="40.5">
      <c r="B746" s="66" t="s">
        <v>867</v>
      </c>
      <c r="C746" s="49" t="s">
        <v>868</v>
      </c>
      <c r="D746" s="50" t="s">
        <v>33</v>
      </c>
      <c r="E746" s="51">
        <f>'[1]15. VENTANERIA'!$K$450</f>
        <v>48</v>
      </c>
      <c r="F746" s="52">
        <f>cd15.1.1</f>
        <v>231709.91995042501</v>
      </c>
      <c r="G746" s="53">
        <f>+ROUND((E746*F746),0)</f>
        <v>11122076</v>
      </c>
      <c r="H746" s="68"/>
      <c r="I746" s="55"/>
    </row>
    <row r="747" spans="2:9">
      <c r="B747" s="91">
        <v>15.2</v>
      </c>
      <c r="C747" s="92" t="s">
        <v>869</v>
      </c>
      <c r="D747" s="87"/>
      <c r="E747" s="88"/>
      <c r="F747" s="89"/>
      <c r="G747" s="90"/>
      <c r="H747" s="47"/>
      <c r="I747" s="55"/>
    </row>
    <row r="748" spans="2:9" ht="54">
      <c r="B748" s="66" t="s">
        <v>883</v>
      </c>
      <c r="C748" s="49" t="s">
        <v>884</v>
      </c>
      <c r="D748" s="50" t="s">
        <v>33</v>
      </c>
      <c r="E748" s="51">
        <f>'[1]15. VENTANERIA'!$J$463</f>
        <v>4</v>
      </c>
      <c r="F748" s="52">
        <f>cd15.2.2</f>
        <v>942900</v>
      </c>
      <c r="G748" s="53">
        <f>+ROUND((E748*F748),0)</f>
        <v>3771600</v>
      </c>
      <c r="H748" s="68"/>
      <c r="I748" s="55"/>
    </row>
    <row r="749" spans="2:9" ht="54">
      <c r="B749" s="66" t="s">
        <v>880</v>
      </c>
      <c r="C749" s="49" t="s">
        <v>881</v>
      </c>
      <c r="D749" s="50" t="s">
        <v>33</v>
      </c>
      <c r="E749" s="51">
        <f>'[1]15. VENTANERIA'!$J$475</f>
        <v>2</v>
      </c>
      <c r="F749" s="52">
        <f>cd15.2.3</f>
        <v>1690500</v>
      </c>
      <c r="G749" s="53">
        <f>+ROUND((E749*F749),0)</f>
        <v>3381000</v>
      </c>
      <c r="H749" s="68"/>
      <c r="I749" s="55"/>
    </row>
    <row r="750" spans="2:9" ht="54">
      <c r="B750" s="66" t="s">
        <v>877</v>
      </c>
      <c r="C750" s="49" t="s">
        <v>878</v>
      </c>
      <c r="D750" s="50" t="s">
        <v>33</v>
      </c>
      <c r="E750" s="51">
        <f>'[1]15. VENTANERIA'!$J$487</f>
        <v>1</v>
      </c>
      <c r="F750" s="52">
        <f>cd15.2.4</f>
        <v>1284885</v>
      </c>
      <c r="G750" s="53">
        <f>+ROUND((E750*F750),0)</f>
        <v>1284885</v>
      </c>
      <c r="H750" s="68"/>
      <c r="I750" s="55"/>
    </row>
    <row r="751" spans="2:9">
      <c r="B751" s="93"/>
      <c r="C751" s="86" t="s">
        <v>879</v>
      </c>
      <c r="D751" s="94"/>
      <c r="E751" s="95"/>
      <c r="F751" s="89"/>
      <c r="G751" s="90"/>
      <c r="H751" s="47"/>
      <c r="I751" s="55"/>
    </row>
    <row r="752" spans="2:9" ht="86.25" customHeight="1">
      <c r="B752" s="91">
        <v>15.1</v>
      </c>
      <c r="C752" s="92" t="s">
        <v>866</v>
      </c>
      <c r="D752" s="87"/>
      <c r="E752" s="88"/>
      <c r="F752" s="89"/>
      <c r="G752" s="90"/>
      <c r="H752" s="47"/>
      <c r="I752" s="55"/>
    </row>
    <row r="753" spans="2:9" ht="40.5">
      <c r="B753" s="66" t="s">
        <v>867</v>
      </c>
      <c r="C753" s="49" t="s">
        <v>868</v>
      </c>
      <c r="D753" s="50" t="s">
        <v>33</v>
      </c>
      <c r="E753" s="51">
        <f>'[1]15. VENTANERIA'!$K$500</f>
        <v>48</v>
      </c>
      <c r="F753" s="52">
        <f>cd15.1.1</f>
        <v>231709.91995042501</v>
      </c>
      <c r="G753" s="53">
        <f>+ROUND((E753*F753),0)</f>
        <v>11122076</v>
      </c>
      <c r="H753" s="68"/>
      <c r="I753" s="55"/>
    </row>
    <row r="754" spans="2:9">
      <c r="B754" s="91">
        <v>15.2</v>
      </c>
      <c r="C754" s="92" t="s">
        <v>869</v>
      </c>
      <c r="D754" s="87"/>
      <c r="E754" s="88"/>
      <c r="F754" s="89"/>
      <c r="G754" s="90"/>
      <c r="H754" s="47"/>
      <c r="I754" s="55"/>
    </row>
    <row r="755" spans="2:9" ht="54">
      <c r="B755" s="66" t="s">
        <v>883</v>
      </c>
      <c r="C755" s="49" t="s">
        <v>884</v>
      </c>
      <c r="D755" s="50" t="s">
        <v>33</v>
      </c>
      <c r="E755" s="51">
        <f>'[1]15. VENTANERIA'!$J$513</f>
        <v>4</v>
      </c>
      <c r="F755" s="52">
        <f>cd15.2.2</f>
        <v>942900</v>
      </c>
      <c r="G755" s="53">
        <f>+ROUND((E755*F755),0)</f>
        <v>3771600</v>
      </c>
      <c r="H755" s="68"/>
      <c r="I755" s="55"/>
    </row>
    <row r="756" spans="2:9" ht="54">
      <c r="B756" s="66" t="s">
        <v>880</v>
      </c>
      <c r="C756" s="49" t="s">
        <v>881</v>
      </c>
      <c r="D756" s="50" t="s">
        <v>33</v>
      </c>
      <c r="E756" s="51">
        <f>'[1]15. VENTANERIA'!$J$525</f>
        <v>2</v>
      </c>
      <c r="F756" s="52">
        <f>cd15.2.3</f>
        <v>1690500</v>
      </c>
      <c r="G756" s="53">
        <f>+ROUND((E756*F756),0)</f>
        <v>3381000</v>
      </c>
      <c r="H756" s="68"/>
      <c r="I756" s="55"/>
    </row>
    <row r="757" spans="2:9" ht="54">
      <c r="B757" s="66" t="s">
        <v>877</v>
      </c>
      <c r="C757" s="49" t="s">
        <v>878</v>
      </c>
      <c r="D757" s="50" t="s">
        <v>33</v>
      </c>
      <c r="E757" s="51">
        <f>'[1]15. VENTANERIA'!$J$537</f>
        <v>1</v>
      </c>
      <c r="F757" s="52">
        <f>cd15.2.4</f>
        <v>1284885</v>
      </c>
      <c r="G757" s="53">
        <f>+ROUND((E757*F757),0)</f>
        <v>1284885</v>
      </c>
      <c r="H757" s="68"/>
      <c r="I757" s="55"/>
    </row>
    <row r="758" spans="2:9">
      <c r="B758" s="93"/>
      <c r="C758" s="86" t="s">
        <v>882</v>
      </c>
      <c r="D758" s="94"/>
      <c r="E758" s="95"/>
      <c r="F758" s="89"/>
      <c r="G758" s="90"/>
      <c r="H758" s="47"/>
      <c r="I758" s="55"/>
    </row>
    <row r="759" spans="2:9" ht="76.5" customHeight="1">
      <c r="B759" s="91">
        <v>15.1</v>
      </c>
      <c r="C759" s="92" t="s">
        <v>866</v>
      </c>
      <c r="D759" s="87"/>
      <c r="E759" s="88"/>
      <c r="F759" s="89"/>
      <c r="G759" s="90"/>
      <c r="H759" s="47"/>
      <c r="I759" s="55"/>
    </row>
    <row r="760" spans="2:9" ht="40.5">
      <c r="B760" s="66" t="s">
        <v>867</v>
      </c>
      <c r="C760" s="49" t="s">
        <v>868</v>
      </c>
      <c r="D760" s="50" t="s">
        <v>33</v>
      </c>
      <c r="E760" s="51">
        <f>'[1]15. VENTANERIA'!$K$550</f>
        <v>48</v>
      </c>
      <c r="F760" s="52">
        <f>cd15.1.1</f>
        <v>231709.91995042501</v>
      </c>
      <c r="G760" s="53">
        <f>+ROUND((E760*F760),0)</f>
        <v>11122076</v>
      </c>
      <c r="H760" s="68"/>
      <c r="I760" s="55"/>
    </row>
    <row r="761" spans="2:9">
      <c r="B761" s="91">
        <v>15.2</v>
      </c>
      <c r="C761" s="92" t="s">
        <v>869</v>
      </c>
      <c r="D761" s="87"/>
      <c r="E761" s="88"/>
      <c r="F761" s="89"/>
      <c r="G761" s="90"/>
      <c r="H761" s="47"/>
      <c r="I761" s="55"/>
    </row>
    <row r="762" spans="2:9" ht="54">
      <c r="B762" s="66" t="s">
        <v>883</v>
      </c>
      <c r="C762" s="49" t="s">
        <v>884</v>
      </c>
      <c r="D762" s="50" t="s">
        <v>33</v>
      </c>
      <c r="E762" s="51">
        <f>'[1]15. VENTANERIA'!$J$563</f>
        <v>4</v>
      </c>
      <c r="F762" s="52">
        <f>cd15.2.2</f>
        <v>942900</v>
      </c>
      <c r="G762" s="53">
        <f>+ROUND((E762*F762),0)</f>
        <v>3771600</v>
      </c>
      <c r="H762" s="68"/>
      <c r="I762" s="55"/>
    </row>
    <row r="763" spans="2:9" ht="54">
      <c r="B763" s="66" t="s">
        <v>880</v>
      </c>
      <c r="C763" s="49" t="s">
        <v>881</v>
      </c>
      <c r="D763" s="50" t="s">
        <v>33</v>
      </c>
      <c r="E763" s="51">
        <f>'[1]15. VENTANERIA'!$J$575</f>
        <v>2</v>
      </c>
      <c r="F763" s="52">
        <f>cd15.2.3</f>
        <v>1690500</v>
      </c>
      <c r="G763" s="53">
        <f>+ROUND((E763*F763),0)</f>
        <v>3381000</v>
      </c>
      <c r="H763" s="68"/>
      <c r="I763" s="55"/>
    </row>
    <row r="764" spans="2:9" ht="54">
      <c r="B764" s="66" t="s">
        <v>877</v>
      </c>
      <c r="C764" s="49" t="s">
        <v>878</v>
      </c>
      <c r="D764" s="50" t="s">
        <v>33</v>
      </c>
      <c r="E764" s="51">
        <f>'[1]15. VENTANERIA'!$J$587</f>
        <v>1</v>
      </c>
      <c r="F764" s="52">
        <f>cd15.2.4</f>
        <v>1284885</v>
      </c>
      <c r="G764" s="53">
        <f>+ROUND((E764*F764),0)</f>
        <v>1284885</v>
      </c>
      <c r="H764" s="68"/>
      <c r="I764" s="55"/>
    </row>
    <row r="765" spans="2:9" ht="54" customHeight="1">
      <c r="B765" s="91">
        <v>15.3</v>
      </c>
      <c r="C765" s="92" t="s">
        <v>887</v>
      </c>
      <c r="D765" s="87"/>
      <c r="E765" s="88"/>
      <c r="F765" s="89"/>
      <c r="G765" s="90"/>
      <c r="H765" s="47"/>
      <c r="I765" s="55"/>
    </row>
    <row r="766" spans="2:9" ht="27">
      <c r="B766" s="66" t="s">
        <v>888</v>
      </c>
      <c r="C766" s="49" t="s">
        <v>889</v>
      </c>
      <c r="D766" s="50" t="s">
        <v>33</v>
      </c>
      <c r="E766" s="51">
        <f>'[1]15. VENTANERIA'!$J$603</f>
        <v>8</v>
      </c>
      <c r="F766" s="52">
        <f>cd15.3.1</f>
        <v>1827525</v>
      </c>
      <c r="G766" s="53">
        <f>+ROUND((E766*F766),0)</f>
        <v>14620200</v>
      </c>
      <c r="H766" s="68"/>
      <c r="I766" s="55"/>
    </row>
    <row r="767" spans="2:9">
      <c r="B767" s="66" t="s">
        <v>890</v>
      </c>
      <c r="C767" s="49" t="s">
        <v>891</v>
      </c>
      <c r="D767" s="50" t="s">
        <v>33</v>
      </c>
      <c r="E767" s="51">
        <f>'[1]15. VENTANERIA'!$J$615</f>
        <v>34</v>
      </c>
      <c r="F767" s="52">
        <f>cd15.3.2</f>
        <v>2257500</v>
      </c>
      <c r="G767" s="53">
        <f>+ROUND((E767*F767),0)</f>
        <v>76755000</v>
      </c>
      <c r="H767" s="68"/>
      <c r="I767" s="55"/>
    </row>
    <row r="768" spans="2:9" ht="27">
      <c r="B768" s="66" t="s">
        <v>892</v>
      </c>
      <c r="C768" s="67" t="s">
        <v>893</v>
      </c>
      <c r="D768" s="50" t="s">
        <v>33</v>
      </c>
      <c r="E768" s="51">
        <f>'[1]15. VENTANERIA'!$J$627</f>
        <v>1</v>
      </c>
      <c r="F768" s="52">
        <f>cd15.3.3</f>
        <v>3655814.1472124998</v>
      </c>
      <c r="G768" s="53">
        <f>+ROUND((E768*F768),0)</f>
        <v>3655814</v>
      </c>
      <c r="H768" s="68"/>
      <c r="I768" s="55"/>
    </row>
    <row r="769" spans="2:9">
      <c r="B769" s="41">
        <v>16</v>
      </c>
      <c r="C769" s="56" t="s">
        <v>894</v>
      </c>
      <c r="D769" s="57"/>
      <c r="E769" s="58"/>
      <c r="F769" s="65"/>
      <c r="G769" s="60"/>
      <c r="H769" s="47">
        <f>SUM(G770:G777)</f>
        <v>143534540</v>
      </c>
      <c r="I769" s="55"/>
    </row>
    <row r="770" spans="2:9" ht="48.75" customHeight="1">
      <c r="B770" s="91">
        <v>16.100000000000001</v>
      </c>
      <c r="C770" s="92" t="s">
        <v>895</v>
      </c>
      <c r="D770" s="87"/>
      <c r="E770" s="88"/>
      <c r="F770" s="89"/>
      <c r="G770" s="90"/>
      <c r="H770" s="47"/>
      <c r="I770" s="55"/>
    </row>
    <row r="771" spans="2:9" ht="40.5">
      <c r="B771" s="66" t="s">
        <v>896</v>
      </c>
      <c r="C771" s="49" t="s">
        <v>897</v>
      </c>
      <c r="D771" s="50" t="s">
        <v>54</v>
      </c>
      <c r="E771" s="51">
        <f>'[1]16. CARPINTERIA METALICA'!J12</f>
        <v>242</v>
      </c>
      <c r="F771" s="52">
        <f>cd16.1.1</f>
        <v>365771.94304990006</v>
      </c>
      <c r="G771" s="53">
        <f>+ROUND((E771*F771),0)</f>
        <v>88516810</v>
      </c>
      <c r="H771" s="68"/>
      <c r="I771" s="55"/>
    </row>
    <row r="772" spans="2:9" ht="102.75" customHeight="1">
      <c r="B772" s="91">
        <v>16.2</v>
      </c>
      <c r="C772" s="92" t="s">
        <v>898</v>
      </c>
      <c r="D772" s="87"/>
      <c r="E772" s="88"/>
      <c r="F772" s="89"/>
      <c r="G772" s="90"/>
      <c r="H772" s="47"/>
      <c r="I772" s="55"/>
    </row>
    <row r="773" spans="2:9" ht="54">
      <c r="B773" s="66" t="s">
        <v>899</v>
      </c>
      <c r="C773" s="49" t="s">
        <v>900</v>
      </c>
      <c r="D773" s="50" t="s">
        <v>19</v>
      </c>
      <c r="E773" s="51">
        <f>'[1]16. CARPINTERIA METALICA'!J26</f>
        <v>93</v>
      </c>
      <c r="F773" s="52">
        <f>cd16.2.1</f>
        <v>430385.87389699998</v>
      </c>
      <c r="G773" s="53">
        <f>+ROUND((E773*F773),0)</f>
        <v>40025886</v>
      </c>
      <c r="H773" s="68"/>
      <c r="I773" s="55"/>
    </row>
    <row r="774" spans="2:9" ht="40.5">
      <c r="B774" s="66" t="s">
        <v>901</v>
      </c>
      <c r="C774" s="67" t="s">
        <v>902</v>
      </c>
      <c r="D774" s="50" t="s">
        <v>19</v>
      </c>
      <c r="E774" s="51">
        <f>'[1]16. CARPINTERIA METALICA'!L39</f>
        <v>2.6496</v>
      </c>
      <c r="F774" s="52">
        <f>cd16.2.2</f>
        <v>430385.87389699998</v>
      </c>
      <c r="G774" s="53">
        <f>+ROUND((E774*F774),0)</f>
        <v>1140350</v>
      </c>
      <c r="H774" s="68"/>
      <c r="I774" s="55"/>
    </row>
    <row r="775" spans="2:9" ht="63" customHeight="1">
      <c r="B775" s="91">
        <v>16.3</v>
      </c>
      <c r="C775" s="92" t="s">
        <v>903</v>
      </c>
      <c r="D775" s="87"/>
      <c r="E775" s="88"/>
      <c r="F775" s="89"/>
      <c r="G775" s="90"/>
      <c r="H775" s="47"/>
      <c r="I775" s="55"/>
    </row>
    <row r="776" spans="2:9" ht="27">
      <c r="B776" s="66" t="s">
        <v>904</v>
      </c>
      <c r="C776" s="49" t="s">
        <v>905</v>
      </c>
      <c r="D776" s="50" t="s">
        <v>33</v>
      </c>
      <c r="E776" s="51">
        <f>'[1]16. CARPINTERIA METALICA'!J52</f>
        <v>1</v>
      </c>
      <c r="F776" s="52">
        <f>cd16.3.1</f>
        <v>685845.3547425</v>
      </c>
      <c r="G776" s="53">
        <f>+ROUND((E776*F776),0)</f>
        <v>685845</v>
      </c>
      <c r="H776" s="68"/>
      <c r="I776" s="55"/>
    </row>
    <row r="777" spans="2:9" ht="27">
      <c r="B777" s="66" t="s">
        <v>906</v>
      </c>
      <c r="C777" s="49" t="s">
        <v>907</v>
      </c>
      <c r="D777" s="50" t="s">
        <v>54</v>
      </c>
      <c r="E777" s="51">
        <f>'[1]16. CARPINTERIA METALICA'!J64</f>
        <v>160</v>
      </c>
      <c r="F777" s="52">
        <f>cd16.3.2</f>
        <v>82285.308899149997</v>
      </c>
      <c r="G777" s="53">
        <f>+ROUND((E777*F777),0)</f>
        <v>13165649</v>
      </c>
      <c r="H777" s="68"/>
      <c r="I777" s="55"/>
    </row>
    <row r="778" spans="2:9">
      <c r="B778" s="41">
        <v>17</v>
      </c>
      <c r="C778" s="56" t="s">
        <v>908</v>
      </c>
      <c r="D778" s="57"/>
      <c r="E778" s="58"/>
      <c r="F778" s="65"/>
      <c r="G778" s="60"/>
      <c r="H778" s="47">
        <f>SUM(G780:G827)</f>
        <v>1171292192.6415241</v>
      </c>
      <c r="I778" s="55"/>
    </row>
    <row r="779" spans="2:9">
      <c r="B779" s="93"/>
      <c r="C779" s="86" t="s">
        <v>909</v>
      </c>
      <c r="D779" s="94"/>
      <c r="E779" s="95"/>
      <c r="F779" s="89"/>
      <c r="G779" s="90"/>
      <c r="H779" s="47"/>
      <c r="I779" s="55"/>
    </row>
    <row r="780" spans="2:9">
      <c r="B780" s="93"/>
      <c r="C780" s="86" t="s">
        <v>876</v>
      </c>
      <c r="D780" s="94"/>
      <c r="E780" s="95"/>
      <c r="F780" s="89"/>
      <c r="G780" s="90"/>
      <c r="H780" s="47"/>
      <c r="I780" s="55"/>
    </row>
    <row r="781" spans="2:9">
      <c r="B781" s="151">
        <v>17.2</v>
      </c>
      <c r="C781" s="127" t="s">
        <v>910</v>
      </c>
      <c r="D781" s="87"/>
      <c r="E781" s="128"/>
      <c r="F781" s="89"/>
      <c r="G781" s="90"/>
      <c r="H781" s="47"/>
      <c r="I781" s="55"/>
    </row>
    <row r="782" spans="2:9" ht="27">
      <c r="B782" s="48" t="s">
        <v>911</v>
      </c>
      <c r="C782" s="130" t="s">
        <v>912</v>
      </c>
      <c r="D782" s="50" t="s">
        <v>54</v>
      </c>
      <c r="E782" s="131">
        <f>'[1]17. SISTEMAS LIVIANOS'!J12</f>
        <v>15.69</v>
      </c>
      <c r="F782" s="52">
        <f>cd17.2.1</f>
        <v>457641.66947100003</v>
      </c>
      <c r="G782" s="53">
        <f>+E782*F782</f>
        <v>7180397.7939999904</v>
      </c>
      <c r="H782" s="68"/>
      <c r="I782" s="55"/>
    </row>
    <row r="783" spans="2:9">
      <c r="B783" s="93"/>
      <c r="C783" s="86" t="s">
        <v>879</v>
      </c>
      <c r="D783" s="94"/>
      <c r="E783" s="95"/>
      <c r="F783" s="89"/>
      <c r="G783" s="90"/>
      <c r="H783" s="47"/>
      <c r="I783" s="55"/>
    </row>
    <row r="784" spans="2:9">
      <c r="B784" s="151">
        <v>17.2</v>
      </c>
      <c r="C784" s="127" t="s">
        <v>910</v>
      </c>
      <c r="D784" s="87"/>
      <c r="E784" s="128"/>
      <c r="F784" s="89"/>
      <c r="G784" s="90"/>
      <c r="H784" s="47"/>
      <c r="I784" s="55"/>
    </row>
    <row r="785" spans="2:9" ht="27">
      <c r="B785" s="48" t="s">
        <v>911</v>
      </c>
      <c r="C785" s="130" t="s">
        <v>912</v>
      </c>
      <c r="D785" s="50" t="s">
        <v>54</v>
      </c>
      <c r="E785" s="131">
        <f>'[1]17. SISTEMAS LIVIANOS'!J26</f>
        <v>15.69</v>
      </c>
      <c r="F785" s="52">
        <f>cd17.2.1</f>
        <v>457641.66947100003</v>
      </c>
      <c r="G785" s="53">
        <f>+E785*F785</f>
        <v>7180397.7939999904</v>
      </c>
      <c r="H785" s="68"/>
      <c r="I785" s="55"/>
    </row>
    <row r="786" spans="2:9">
      <c r="B786" s="93"/>
      <c r="C786" s="86" t="s">
        <v>113</v>
      </c>
      <c r="D786" s="94"/>
      <c r="E786" s="95"/>
      <c r="F786" s="89"/>
      <c r="G786" s="90"/>
      <c r="H786" s="47"/>
      <c r="I786" s="55"/>
    </row>
    <row r="787" spans="2:9">
      <c r="B787" s="93"/>
      <c r="C787" s="86" t="s">
        <v>876</v>
      </c>
      <c r="D787" s="94"/>
      <c r="E787" s="95"/>
      <c r="F787" s="89"/>
      <c r="G787" s="90"/>
      <c r="H787" s="47"/>
      <c r="I787" s="55"/>
    </row>
    <row r="788" spans="2:9">
      <c r="B788" s="151">
        <v>17.100000000000001</v>
      </c>
      <c r="C788" s="127" t="s">
        <v>913</v>
      </c>
      <c r="D788" s="87"/>
      <c r="E788" s="128"/>
      <c r="F788" s="89"/>
      <c r="G788" s="90"/>
      <c r="H788" s="47"/>
      <c r="I788" s="55"/>
    </row>
    <row r="789" spans="2:9" ht="67.5">
      <c r="B789" s="48" t="s">
        <v>914</v>
      </c>
      <c r="C789" s="130" t="s">
        <v>915</v>
      </c>
      <c r="D789" s="50" t="s">
        <v>19</v>
      </c>
      <c r="E789" s="131">
        <f>'[1]17. SISTEMAS LIVIANOS'!J43</f>
        <v>295</v>
      </c>
      <c r="F789" s="52">
        <f>cd17.1.1</f>
        <v>347184.51949719997</v>
      </c>
      <c r="G789" s="53">
        <f>+E789*F789</f>
        <v>102419433.251674</v>
      </c>
      <c r="H789" s="68"/>
      <c r="I789" s="55"/>
    </row>
    <row r="790" spans="2:9">
      <c r="B790" s="151">
        <v>17.2</v>
      </c>
      <c r="C790" s="127" t="s">
        <v>910</v>
      </c>
      <c r="D790" s="87"/>
      <c r="E790" s="128"/>
      <c r="F790" s="89"/>
      <c r="G790" s="90"/>
      <c r="H790" s="47"/>
      <c r="I790" s="55"/>
    </row>
    <row r="791" spans="2:9" ht="27">
      <c r="B791" s="48" t="s">
        <v>911</v>
      </c>
      <c r="C791" s="130" t="s">
        <v>912</v>
      </c>
      <c r="D791" s="50" t="s">
        <v>54</v>
      </c>
      <c r="E791" s="131">
        <f>'[1]17. SISTEMAS LIVIANOS'!J57</f>
        <v>40.6</v>
      </c>
      <c r="F791" s="52">
        <f>cd17.2.1</f>
        <v>457641.66947100003</v>
      </c>
      <c r="G791" s="53">
        <f>+E791*F791</f>
        <v>18580251.780522604</v>
      </c>
      <c r="H791" s="68"/>
      <c r="I791" s="55"/>
    </row>
    <row r="792" spans="2:9">
      <c r="B792" s="93"/>
      <c r="C792" s="86" t="s">
        <v>879</v>
      </c>
      <c r="D792" s="94"/>
      <c r="E792" s="95"/>
      <c r="F792" s="89"/>
      <c r="G792" s="90"/>
      <c r="H792" s="47"/>
      <c r="I792" s="55"/>
    </row>
    <row r="793" spans="2:9">
      <c r="B793" s="151">
        <v>17.100000000000001</v>
      </c>
      <c r="C793" s="127" t="s">
        <v>913</v>
      </c>
      <c r="D793" s="87"/>
      <c r="E793" s="128"/>
      <c r="F793" s="89"/>
      <c r="G793" s="90"/>
      <c r="H793" s="47"/>
      <c r="I793" s="55"/>
    </row>
    <row r="794" spans="2:9" ht="67.5">
      <c r="B794" s="48" t="s">
        <v>914</v>
      </c>
      <c r="C794" s="130" t="s">
        <v>915</v>
      </c>
      <c r="D794" s="50" t="s">
        <v>19</v>
      </c>
      <c r="E794" s="131">
        <f>'[1]17. SISTEMAS LIVIANOS'!J71</f>
        <v>590.5</v>
      </c>
      <c r="F794" s="52">
        <f>cd17.1.1</f>
        <v>347184.51949719997</v>
      </c>
      <c r="G794" s="53">
        <f>+E794*F794</f>
        <v>205012458.76309657</v>
      </c>
      <c r="H794" s="68"/>
      <c r="I794" s="55"/>
    </row>
    <row r="795" spans="2:9">
      <c r="B795" s="151">
        <v>17.2</v>
      </c>
      <c r="C795" s="127" t="s">
        <v>910</v>
      </c>
      <c r="D795" s="87"/>
      <c r="E795" s="128"/>
      <c r="F795" s="89"/>
      <c r="G795" s="90"/>
      <c r="H795" s="47"/>
      <c r="I795" s="55"/>
    </row>
    <row r="796" spans="2:9" ht="27">
      <c r="B796" s="48" t="s">
        <v>911</v>
      </c>
      <c r="C796" s="130" t="s">
        <v>912</v>
      </c>
      <c r="D796" s="50" t="s">
        <v>54</v>
      </c>
      <c r="E796" s="131">
        <f>'[1]17. SISTEMAS LIVIANOS'!J85</f>
        <v>10.89</v>
      </c>
      <c r="F796" s="52">
        <f>cd17.2.1</f>
        <v>457641.66947100003</v>
      </c>
      <c r="G796" s="53">
        <f>+E796*F796</f>
        <v>4983717.7805391904</v>
      </c>
      <c r="H796" s="68"/>
      <c r="I796" s="55"/>
    </row>
    <row r="797" spans="2:9">
      <c r="B797" s="93"/>
      <c r="C797" s="86" t="s">
        <v>882</v>
      </c>
      <c r="D797" s="94"/>
      <c r="E797" s="95"/>
      <c r="F797" s="89"/>
      <c r="G797" s="90"/>
      <c r="H797" s="47"/>
      <c r="I797" s="55"/>
    </row>
    <row r="798" spans="2:9">
      <c r="B798" s="151">
        <v>17.100000000000001</v>
      </c>
      <c r="C798" s="127" t="s">
        <v>913</v>
      </c>
      <c r="D798" s="87"/>
      <c r="E798" s="128"/>
      <c r="F798" s="89"/>
      <c r="G798" s="90"/>
      <c r="H798" s="47"/>
      <c r="I798" s="55"/>
    </row>
    <row r="799" spans="2:9" ht="67.5">
      <c r="B799" s="48" t="s">
        <v>914</v>
      </c>
      <c r="C799" s="130" t="s">
        <v>915</v>
      </c>
      <c r="D799" s="50" t="s">
        <v>19</v>
      </c>
      <c r="E799" s="131">
        <f>'[1]17. SISTEMAS LIVIANOS'!J99</f>
        <v>315.39999999999998</v>
      </c>
      <c r="F799" s="52">
        <f>cd17.1.1</f>
        <v>347184.51949719997</v>
      </c>
      <c r="G799" s="53">
        <f>+E799*F799</f>
        <v>109501997.44941686</v>
      </c>
      <c r="H799" s="68"/>
      <c r="I799" s="55"/>
    </row>
    <row r="800" spans="2:9">
      <c r="B800" s="151">
        <v>17.2</v>
      </c>
      <c r="C800" s="127" t="s">
        <v>910</v>
      </c>
      <c r="D800" s="87"/>
      <c r="E800" s="128"/>
      <c r="F800" s="89"/>
      <c r="G800" s="90"/>
      <c r="H800" s="47"/>
      <c r="I800" s="55"/>
    </row>
    <row r="801" spans="2:9" ht="27">
      <c r="B801" s="48" t="s">
        <v>911</v>
      </c>
      <c r="C801" s="130" t="s">
        <v>912</v>
      </c>
      <c r="D801" s="50" t="s">
        <v>54</v>
      </c>
      <c r="E801" s="131">
        <f>'[1]17. SISTEMAS LIVIANOS'!J113</f>
        <v>10.38</v>
      </c>
      <c r="F801" s="52">
        <f>cd17.2.1</f>
        <v>457641.66947100003</v>
      </c>
      <c r="G801" s="53">
        <f>+E801*F801</f>
        <v>4750320.5291089807</v>
      </c>
      <c r="H801" s="68"/>
      <c r="I801" s="55"/>
    </row>
    <row r="802" spans="2:9">
      <c r="B802" s="93"/>
      <c r="C802" s="86" t="s">
        <v>118</v>
      </c>
      <c r="D802" s="94"/>
      <c r="E802" s="95"/>
      <c r="F802" s="89"/>
      <c r="G802" s="90"/>
      <c r="H802" s="47"/>
      <c r="I802" s="55"/>
    </row>
    <row r="803" spans="2:9">
      <c r="B803" s="93"/>
      <c r="C803" s="86" t="s">
        <v>876</v>
      </c>
      <c r="D803" s="94"/>
      <c r="E803" s="95"/>
      <c r="F803" s="89"/>
      <c r="G803" s="90"/>
      <c r="H803" s="47"/>
      <c r="I803" s="55"/>
    </row>
    <row r="804" spans="2:9">
      <c r="B804" s="151">
        <v>17.100000000000001</v>
      </c>
      <c r="C804" s="127" t="s">
        <v>913</v>
      </c>
      <c r="D804" s="87"/>
      <c r="E804" s="128"/>
      <c r="F804" s="89"/>
      <c r="G804" s="90"/>
      <c r="H804" s="47"/>
      <c r="I804" s="55"/>
    </row>
    <row r="805" spans="2:9" ht="67.5">
      <c r="B805" s="48" t="s">
        <v>914</v>
      </c>
      <c r="C805" s="130" t="s">
        <v>915</v>
      </c>
      <c r="D805" s="50" t="s">
        <v>19</v>
      </c>
      <c r="E805" s="131">
        <f>'[1]17. SISTEMAS LIVIANOS'!J130</f>
        <v>315.39999999999998</v>
      </c>
      <c r="F805" s="52">
        <f>cd17.1.1</f>
        <v>347184.51949719997</v>
      </c>
      <c r="G805" s="53">
        <f>+E805*F805</f>
        <v>109501997.44941686</v>
      </c>
      <c r="H805" s="68"/>
      <c r="I805" s="55"/>
    </row>
    <row r="806" spans="2:9">
      <c r="B806" s="151">
        <v>17.2</v>
      </c>
      <c r="C806" s="127" t="s">
        <v>910</v>
      </c>
      <c r="D806" s="87"/>
      <c r="E806" s="128"/>
      <c r="F806" s="89"/>
      <c r="G806" s="90"/>
      <c r="H806" s="47"/>
      <c r="I806" s="55"/>
    </row>
    <row r="807" spans="2:9" ht="27">
      <c r="B807" s="48" t="s">
        <v>911</v>
      </c>
      <c r="C807" s="130" t="s">
        <v>912</v>
      </c>
      <c r="D807" s="50" t="s">
        <v>54</v>
      </c>
      <c r="E807" s="131">
        <f>'[1]17. SISTEMAS LIVIANOS'!J144</f>
        <v>11.74</v>
      </c>
      <c r="F807" s="52">
        <f>cd17.2.1</f>
        <v>457641.66947100003</v>
      </c>
      <c r="G807" s="53">
        <f>+E807*F807</f>
        <v>5372713.1995895403</v>
      </c>
      <c r="H807" s="68"/>
      <c r="I807" s="55"/>
    </row>
    <row r="808" spans="2:9">
      <c r="B808" s="93"/>
      <c r="C808" s="86" t="s">
        <v>879</v>
      </c>
      <c r="D808" s="94"/>
      <c r="E808" s="95"/>
      <c r="F808" s="89"/>
      <c r="G808" s="90"/>
      <c r="H808" s="47"/>
      <c r="I808" s="55"/>
    </row>
    <row r="809" spans="2:9">
      <c r="B809" s="151">
        <v>17.100000000000001</v>
      </c>
      <c r="C809" s="127" t="s">
        <v>913</v>
      </c>
      <c r="D809" s="87"/>
      <c r="E809" s="128"/>
      <c r="F809" s="89"/>
      <c r="G809" s="90"/>
      <c r="H809" s="47"/>
      <c r="I809" s="55"/>
    </row>
    <row r="810" spans="2:9" ht="67.5">
      <c r="B810" s="48" t="s">
        <v>914</v>
      </c>
      <c r="C810" s="130" t="s">
        <v>915</v>
      </c>
      <c r="D810" s="50" t="s">
        <v>19</v>
      </c>
      <c r="E810" s="131">
        <f>'[1]17. SISTEMAS LIVIANOS'!J158</f>
        <v>315.39999999999998</v>
      </c>
      <c r="F810" s="52">
        <f>cd17.1.1</f>
        <v>347184.51949719997</v>
      </c>
      <c r="G810" s="53">
        <f>+E810*F810</f>
        <v>109501997.44941686</v>
      </c>
      <c r="H810" s="68"/>
      <c r="I810" s="55"/>
    </row>
    <row r="811" spans="2:9">
      <c r="B811" s="151">
        <v>17.2</v>
      </c>
      <c r="C811" s="127" t="s">
        <v>910</v>
      </c>
      <c r="D811" s="87"/>
      <c r="E811" s="128"/>
      <c r="F811" s="89"/>
      <c r="G811" s="90"/>
      <c r="H811" s="47"/>
      <c r="I811" s="55"/>
    </row>
    <row r="812" spans="2:9" ht="27">
      <c r="B812" s="48" t="s">
        <v>911</v>
      </c>
      <c r="C812" s="130" t="s">
        <v>912</v>
      </c>
      <c r="D812" s="50" t="s">
        <v>54</v>
      </c>
      <c r="E812" s="131">
        <f>'[1]17. SISTEMAS LIVIANOS'!J172</f>
        <v>19.7</v>
      </c>
      <c r="F812" s="52">
        <f>cd17.2.1</f>
        <v>457641.66947100003</v>
      </c>
      <c r="G812" s="53">
        <f>+E812*F812</f>
        <v>9015540.8885786999</v>
      </c>
      <c r="H812" s="68"/>
      <c r="I812" s="55"/>
    </row>
    <row r="813" spans="2:9">
      <c r="B813" s="93"/>
      <c r="C813" s="86" t="s">
        <v>882</v>
      </c>
      <c r="D813" s="94"/>
      <c r="E813" s="95"/>
      <c r="F813" s="89"/>
      <c r="G813" s="90"/>
      <c r="H813" s="47"/>
      <c r="I813" s="55"/>
    </row>
    <row r="814" spans="2:9">
      <c r="B814" s="151">
        <v>17.100000000000001</v>
      </c>
      <c r="C814" s="127" t="s">
        <v>913</v>
      </c>
      <c r="D814" s="87"/>
      <c r="E814" s="128"/>
      <c r="F814" s="89"/>
      <c r="G814" s="90"/>
      <c r="H814" s="47"/>
      <c r="I814" s="55"/>
    </row>
    <row r="815" spans="2:9" ht="67.5">
      <c r="B815" s="48" t="s">
        <v>914</v>
      </c>
      <c r="C815" s="130" t="s">
        <v>915</v>
      </c>
      <c r="D815" s="50" t="s">
        <v>19</v>
      </c>
      <c r="E815" s="131">
        <f>'[1]17. SISTEMAS LIVIANOS'!J186</f>
        <v>315.39999999999998</v>
      </c>
      <c r="F815" s="52">
        <f>cd17.1.1</f>
        <v>347184.51949719997</v>
      </c>
      <c r="G815" s="53">
        <f>+E815*F815</f>
        <v>109501997.44941686</v>
      </c>
      <c r="H815" s="68"/>
      <c r="I815" s="55"/>
    </row>
    <row r="816" spans="2:9">
      <c r="B816" s="151">
        <v>17.2</v>
      </c>
      <c r="C816" s="127" t="s">
        <v>910</v>
      </c>
      <c r="D816" s="87"/>
      <c r="E816" s="128"/>
      <c r="F816" s="89"/>
      <c r="G816" s="90"/>
      <c r="H816" s="47"/>
      <c r="I816" s="55"/>
    </row>
    <row r="817" spans="2:9" ht="27">
      <c r="B817" s="48" t="s">
        <v>911</v>
      </c>
      <c r="C817" s="130" t="s">
        <v>912</v>
      </c>
      <c r="D817" s="50" t="s">
        <v>54</v>
      </c>
      <c r="E817" s="131">
        <f>'[1]17. SISTEMAS LIVIANOS'!J200</f>
        <v>19.7</v>
      </c>
      <c r="F817" s="52">
        <f>cd17.2.1</f>
        <v>457641.66947100003</v>
      </c>
      <c r="G817" s="53">
        <f>+E817*F817</f>
        <v>9015540.8885786999</v>
      </c>
      <c r="H817" s="68"/>
      <c r="I817" s="55"/>
    </row>
    <row r="818" spans="2:9">
      <c r="B818" s="93"/>
      <c r="C818" s="86" t="s">
        <v>120</v>
      </c>
      <c r="D818" s="94"/>
      <c r="E818" s="95"/>
      <c r="F818" s="89"/>
      <c r="G818" s="90"/>
      <c r="H818" s="47"/>
      <c r="I818" s="55"/>
    </row>
    <row r="819" spans="2:9">
      <c r="B819" s="93"/>
      <c r="C819" s="86" t="s">
        <v>876</v>
      </c>
      <c r="D819" s="94"/>
      <c r="E819" s="95"/>
      <c r="F819" s="89"/>
      <c r="G819" s="90"/>
      <c r="H819" s="47"/>
      <c r="I819" s="55"/>
    </row>
    <row r="820" spans="2:9">
      <c r="B820" s="151">
        <v>17.100000000000001</v>
      </c>
      <c r="C820" s="127" t="s">
        <v>913</v>
      </c>
      <c r="D820" s="87"/>
      <c r="E820" s="128"/>
      <c r="F820" s="89"/>
      <c r="G820" s="90"/>
      <c r="H820" s="47"/>
      <c r="I820" s="55"/>
    </row>
    <row r="821" spans="2:9" ht="67.5">
      <c r="B821" s="48" t="s">
        <v>914</v>
      </c>
      <c r="C821" s="130" t="s">
        <v>915</v>
      </c>
      <c r="D821" s="50" t="s">
        <v>19</v>
      </c>
      <c r="E821" s="131">
        <f>'[1]17. SISTEMAS LIVIANOS'!J217</f>
        <v>345.42</v>
      </c>
      <c r="F821" s="52">
        <f>cd17.1.1</f>
        <v>347184.51949719997</v>
      </c>
      <c r="G821" s="53">
        <f>+E821*F821</f>
        <v>119924476.72472282</v>
      </c>
      <c r="H821" s="68"/>
      <c r="I821" s="55"/>
    </row>
    <row r="822" spans="2:9">
      <c r="B822" s="93"/>
      <c r="C822" s="86" t="s">
        <v>879</v>
      </c>
      <c r="D822" s="94"/>
      <c r="E822" s="95"/>
      <c r="F822" s="89"/>
      <c r="G822" s="90"/>
      <c r="H822" s="47"/>
      <c r="I822" s="55"/>
    </row>
    <row r="823" spans="2:9">
      <c r="B823" s="151">
        <v>17.100000000000001</v>
      </c>
      <c r="C823" s="127" t="s">
        <v>913</v>
      </c>
      <c r="D823" s="87"/>
      <c r="E823" s="128"/>
      <c r="F823" s="89"/>
      <c r="G823" s="90"/>
      <c r="H823" s="47"/>
      <c r="I823" s="55"/>
    </row>
    <row r="824" spans="2:9" ht="67.5">
      <c r="B824" s="48" t="s">
        <v>914</v>
      </c>
      <c r="C824" s="130" t="s">
        <v>915</v>
      </c>
      <c r="D824" s="50" t="s">
        <v>19</v>
      </c>
      <c r="E824" s="131">
        <f>'[1]17. SISTEMAS LIVIANOS'!J231</f>
        <v>345.42</v>
      </c>
      <c r="F824" s="52">
        <f>cd17.1.1</f>
        <v>347184.51949719997</v>
      </c>
      <c r="G824" s="53">
        <f>+E824*F824</f>
        <v>119924476.72472282</v>
      </c>
      <c r="H824" s="68"/>
      <c r="I824" s="55"/>
    </row>
    <row r="825" spans="2:9">
      <c r="B825" s="93"/>
      <c r="C825" s="86" t="s">
        <v>882</v>
      </c>
      <c r="D825" s="94"/>
      <c r="E825" s="95"/>
      <c r="F825" s="89"/>
      <c r="G825" s="90"/>
      <c r="H825" s="47"/>
      <c r="I825" s="55"/>
    </row>
    <row r="826" spans="2:9">
      <c r="B826" s="151">
        <v>17.100000000000001</v>
      </c>
      <c r="C826" s="127" t="s">
        <v>913</v>
      </c>
      <c r="D826" s="87"/>
      <c r="E826" s="128"/>
      <c r="F826" s="89"/>
      <c r="G826" s="90"/>
      <c r="H826" s="47"/>
      <c r="I826" s="55"/>
    </row>
    <row r="827" spans="2:9" ht="67.5">
      <c r="B827" s="48" t="s">
        <v>914</v>
      </c>
      <c r="C827" s="130" t="s">
        <v>915</v>
      </c>
      <c r="D827" s="50" t="s">
        <v>19</v>
      </c>
      <c r="E827" s="131">
        <f>'[1]17. SISTEMAS LIVIANOS'!J245</f>
        <v>345.42</v>
      </c>
      <c r="F827" s="52">
        <f>cd17.1.1</f>
        <v>347184.51949719997</v>
      </c>
      <c r="G827" s="53">
        <f>+E827*F827</f>
        <v>119924476.72472282</v>
      </c>
      <c r="H827" s="68"/>
      <c r="I827" s="55"/>
    </row>
    <row r="828" spans="2:9">
      <c r="B828" s="41">
        <v>18</v>
      </c>
      <c r="C828" s="56" t="s">
        <v>916</v>
      </c>
      <c r="D828" s="57"/>
      <c r="E828" s="58"/>
      <c r="F828" s="65"/>
      <c r="G828" s="60"/>
      <c r="H828" s="47">
        <f>SUM(G831:G867)</f>
        <v>125958521</v>
      </c>
      <c r="I828" s="55"/>
    </row>
    <row r="829" spans="2:9">
      <c r="B829" s="93"/>
      <c r="C829" s="86" t="s">
        <v>917</v>
      </c>
      <c r="D829" s="94"/>
      <c r="E829" s="95"/>
      <c r="F829" s="89"/>
      <c r="G829" s="90"/>
      <c r="H829" s="47"/>
      <c r="I829" s="55"/>
    </row>
    <row r="830" spans="2:9">
      <c r="B830" s="93"/>
      <c r="C830" s="86" t="s">
        <v>865</v>
      </c>
      <c r="D830" s="94"/>
      <c r="E830" s="95"/>
      <c r="F830" s="89"/>
      <c r="G830" s="90"/>
      <c r="H830" s="47"/>
      <c r="I830" s="55"/>
    </row>
    <row r="831" spans="2:9" ht="51">
      <c r="B831" s="91">
        <v>18.100000000000001</v>
      </c>
      <c r="C831" s="92" t="s">
        <v>918</v>
      </c>
      <c r="D831" s="87"/>
      <c r="E831" s="88"/>
      <c r="F831" s="89"/>
      <c r="G831" s="90"/>
      <c r="H831" s="47"/>
      <c r="I831" s="55"/>
    </row>
    <row r="832" spans="2:9" ht="54">
      <c r="B832" s="66" t="s">
        <v>919</v>
      </c>
      <c r="C832" s="49" t="s">
        <v>920</v>
      </c>
      <c r="D832" s="50" t="s">
        <v>33</v>
      </c>
      <c r="E832" s="51">
        <f>'[1]18. DOTACION BAÑOS'!J12</f>
        <v>16</v>
      </c>
      <c r="F832" s="52">
        <f>cd18.1.1</f>
        <v>1240886.2051039999</v>
      </c>
      <c r="G832" s="53">
        <f>+ROUND((E832*F832),0)</f>
        <v>19854179</v>
      </c>
      <c r="H832" s="68"/>
      <c r="I832" s="55"/>
    </row>
    <row r="833" spans="2:9" ht="54">
      <c r="B833" s="66" t="s">
        <v>921</v>
      </c>
      <c r="C833" s="49" t="s">
        <v>922</v>
      </c>
      <c r="D833" s="50" t="s">
        <v>33</v>
      </c>
      <c r="E833" s="51">
        <f>'[1]18. DOTACION BAÑOS'!J22</f>
        <v>2</v>
      </c>
      <c r="F833" s="52">
        <f>cd18.1.2</f>
        <v>1240886.2051039999</v>
      </c>
      <c r="G833" s="53">
        <f>+ROUND((E833*F833),0)</f>
        <v>2481772</v>
      </c>
      <c r="H833" s="68"/>
      <c r="I833" s="55"/>
    </row>
    <row r="834" spans="2:9" ht="27">
      <c r="B834" s="66" t="s">
        <v>923</v>
      </c>
      <c r="C834" s="49" t="s">
        <v>924</v>
      </c>
      <c r="D834" s="50" t="s">
        <v>33</v>
      </c>
      <c r="E834" s="51">
        <f>'[1]18. DOTACION BAÑOS'!J32</f>
        <v>7</v>
      </c>
      <c r="F834" s="52">
        <f>cd18.1.3</f>
        <v>1532970.2176039997</v>
      </c>
      <c r="G834" s="53">
        <f>+ROUND((E834*F834),0)</f>
        <v>10730792</v>
      </c>
      <c r="H834" s="68"/>
      <c r="I834" s="55"/>
    </row>
    <row r="835" spans="2:9" ht="27">
      <c r="B835" s="66" t="s">
        <v>925</v>
      </c>
      <c r="C835" s="49" t="s">
        <v>926</v>
      </c>
      <c r="D835" s="50" t="s">
        <v>33</v>
      </c>
      <c r="E835" s="51">
        <f>'[1]18. DOTACION BAÑOS'!J42</f>
        <v>9</v>
      </c>
      <c r="F835" s="52">
        <f>cd18.1.4</f>
        <v>566554.98686920002</v>
      </c>
      <c r="G835" s="53">
        <f>+ROUND((E835*F835),0)</f>
        <v>5098995</v>
      </c>
      <c r="H835" s="68"/>
      <c r="I835" s="55"/>
    </row>
    <row r="836" spans="2:9" ht="40.5">
      <c r="B836" s="66" t="s">
        <v>927</v>
      </c>
      <c r="C836" s="49" t="s">
        <v>928</v>
      </c>
      <c r="D836" s="50" t="s">
        <v>33</v>
      </c>
      <c r="E836" s="51">
        <f>'[1]18. DOTACION BAÑOS'!J52</f>
        <v>4</v>
      </c>
      <c r="F836" s="52">
        <f>cd18.1.5</f>
        <v>274419.31799800001</v>
      </c>
      <c r="G836" s="53">
        <f>+ROUND((E836*F836),0)</f>
        <v>1097677</v>
      </c>
      <c r="H836" s="68"/>
      <c r="I836" s="55"/>
    </row>
    <row r="837" spans="2:9" ht="51">
      <c r="B837" s="91">
        <v>18.2</v>
      </c>
      <c r="C837" s="92" t="s">
        <v>929</v>
      </c>
      <c r="D837" s="87"/>
      <c r="E837" s="88"/>
      <c r="F837" s="89"/>
      <c r="G837" s="90"/>
      <c r="H837" s="47"/>
      <c r="I837" s="55"/>
    </row>
    <row r="838" spans="2:9" ht="40.5">
      <c r="B838" s="66" t="s">
        <v>930</v>
      </c>
      <c r="C838" s="49" t="s">
        <v>931</v>
      </c>
      <c r="D838" s="50" t="s">
        <v>33</v>
      </c>
      <c r="E838" s="51">
        <f>'[1]18. DOTACION BAÑOS'!J64</f>
        <v>18</v>
      </c>
      <c r="F838" s="52">
        <f>cd18.2.1</f>
        <v>262914.66399649996</v>
      </c>
      <c r="G838" s="53">
        <f t="shared" ref="G838:G844" si="22">+ROUND((E838*F838),0)</f>
        <v>4732464</v>
      </c>
      <c r="H838" s="68"/>
      <c r="I838" s="55"/>
    </row>
    <row r="839" spans="2:9" ht="54">
      <c r="B839" s="66" t="s">
        <v>932</v>
      </c>
      <c r="C839" s="49" t="s">
        <v>933</v>
      </c>
      <c r="D839" s="50" t="s">
        <v>33</v>
      </c>
      <c r="E839" s="51">
        <f>'[1]18. DOTACION BAÑOS'!J74</f>
        <v>6</v>
      </c>
      <c r="F839" s="52">
        <f>cd18.2.2</f>
        <v>401038.13702190004</v>
      </c>
      <c r="G839" s="53">
        <f t="shared" si="22"/>
        <v>2406229</v>
      </c>
      <c r="H839" s="68"/>
      <c r="I839" s="55"/>
    </row>
    <row r="840" spans="2:9">
      <c r="B840" s="66" t="s">
        <v>934</v>
      </c>
      <c r="C840" s="49" t="s">
        <v>935</v>
      </c>
      <c r="D840" s="50" t="s">
        <v>33</v>
      </c>
      <c r="E840" s="51">
        <f>'[1]18. DOTACION BAÑOS'!J84</f>
        <v>18</v>
      </c>
      <c r="F840" s="52">
        <f>cd18.2.3</f>
        <v>439294.01259860001</v>
      </c>
      <c r="G840" s="53">
        <f t="shared" si="22"/>
        <v>7907292</v>
      </c>
      <c r="H840" s="68"/>
      <c r="I840" s="55"/>
    </row>
    <row r="841" spans="2:9" ht="40.5">
      <c r="B841" s="66" t="s">
        <v>936</v>
      </c>
      <c r="C841" s="49" t="s">
        <v>937</v>
      </c>
      <c r="D841" s="50" t="s">
        <v>33</v>
      </c>
      <c r="E841" s="51">
        <f>'[1]18. DOTACION BAÑOS'!J94</f>
        <v>4</v>
      </c>
      <c r="F841" s="52">
        <f>cd18.2.4</f>
        <v>409134.37387855002</v>
      </c>
      <c r="G841" s="53">
        <f t="shared" si="22"/>
        <v>1636537</v>
      </c>
      <c r="H841" s="68"/>
      <c r="I841" s="55"/>
    </row>
    <row r="842" spans="2:9">
      <c r="B842" s="66" t="s">
        <v>938</v>
      </c>
      <c r="C842" s="49" t="s">
        <v>939</v>
      </c>
      <c r="D842" s="50" t="s">
        <v>33</v>
      </c>
      <c r="E842" s="51">
        <f>'[1]18. DOTACION BAÑOS'!J104</f>
        <v>4</v>
      </c>
      <c r="F842" s="52">
        <f>cd18.2.5</f>
        <v>70116.132261099992</v>
      </c>
      <c r="G842" s="53">
        <f t="shared" si="22"/>
        <v>280465</v>
      </c>
      <c r="H842" s="68"/>
      <c r="I842" s="55"/>
    </row>
    <row r="843" spans="2:9">
      <c r="B843" s="66" t="s">
        <v>940</v>
      </c>
      <c r="C843" s="49" t="s">
        <v>941</v>
      </c>
      <c r="D843" s="50" t="s">
        <v>604</v>
      </c>
      <c r="E843" s="51">
        <f>'[1]18. DOTACION BAÑOS'!J114</f>
        <v>4</v>
      </c>
      <c r="F843" s="52">
        <f>cd18.2.6</f>
        <v>1051466.3495588</v>
      </c>
      <c r="G843" s="53">
        <f t="shared" si="22"/>
        <v>4205865</v>
      </c>
      <c r="H843" s="68"/>
      <c r="I843" s="55"/>
    </row>
    <row r="844" spans="2:9" ht="67.5">
      <c r="B844" s="66" t="s">
        <v>942</v>
      </c>
      <c r="C844" s="49" t="s">
        <v>943</v>
      </c>
      <c r="D844" s="50" t="s">
        <v>33</v>
      </c>
      <c r="E844" s="51">
        <f>'[1]18. DOTACION BAÑOS'!J124</f>
        <v>4</v>
      </c>
      <c r="F844" s="52">
        <f>cd18.2.7</f>
        <v>3054594.3560622497</v>
      </c>
      <c r="G844" s="53">
        <f t="shared" si="22"/>
        <v>12218377</v>
      </c>
      <c r="H844" s="68"/>
      <c r="I844" s="55"/>
    </row>
    <row r="845" spans="2:9" ht="51">
      <c r="B845" s="91">
        <v>18.3</v>
      </c>
      <c r="C845" s="92" t="s">
        <v>944</v>
      </c>
      <c r="D845" s="87"/>
      <c r="E845" s="88"/>
      <c r="F845" s="89"/>
      <c r="G845" s="90"/>
      <c r="H845" s="47"/>
      <c r="I845" s="55"/>
    </row>
    <row r="846" spans="2:9">
      <c r="B846" s="66" t="s">
        <v>945</v>
      </c>
      <c r="C846" s="49" t="s">
        <v>946</v>
      </c>
      <c r="D846" s="50" t="s">
        <v>19</v>
      </c>
      <c r="E846" s="51">
        <f>'[1]18. DOTACION BAÑOS'!J136</f>
        <v>4</v>
      </c>
      <c r="F846" s="52">
        <f>cd18.3.1</f>
        <v>160274.28650729998</v>
      </c>
      <c r="G846" s="53">
        <f>+ROUND((E846*F846),0)</f>
        <v>641097</v>
      </c>
      <c r="H846" s="68"/>
      <c r="I846" s="55"/>
    </row>
    <row r="847" spans="2:9" ht="51">
      <c r="B847" s="91">
        <v>18.399999999999999</v>
      </c>
      <c r="C847" s="92" t="s">
        <v>947</v>
      </c>
      <c r="D847" s="87"/>
      <c r="E847" s="88"/>
      <c r="F847" s="89"/>
      <c r="G847" s="90"/>
      <c r="H847" s="47"/>
      <c r="I847" s="55"/>
    </row>
    <row r="848" spans="2:9">
      <c r="B848" s="66" t="s">
        <v>948</v>
      </c>
      <c r="C848" s="49" t="s">
        <v>949</v>
      </c>
      <c r="D848" s="50" t="s">
        <v>33</v>
      </c>
      <c r="E848" s="51">
        <f>'[1]18. DOTACION BAÑOS'!J148</f>
        <v>4</v>
      </c>
      <c r="F848" s="52">
        <f>cd18.4.1</f>
        <v>20805.17482575</v>
      </c>
      <c r="G848" s="53">
        <f>+ROUND((E848*F848),0)</f>
        <v>83221</v>
      </c>
      <c r="H848" s="68"/>
      <c r="I848" s="55"/>
    </row>
    <row r="849" spans="2:9">
      <c r="B849" s="66" t="s">
        <v>950</v>
      </c>
      <c r="C849" s="49" t="s">
        <v>951</v>
      </c>
      <c r="D849" s="50" t="s">
        <v>33</v>
      </c>
      <c r="E849" s="51">
        <f>'[1]18. DOTACION BAÑOS'!J158</f>
        <v>4</v>
      </c>
      <c r="F849" s="52">
        <f>cd18.4.2</f>
        <v>58847.064530800002</v>
      </c>
      <c r="G849" s="53">
        <f>+ROUND((E849*F849),0)</f>
        <v>235388</v>
      </c>
      <c r="H849" s="68"/>
      <c r="I849" s="55"/>
    </row>
    <row r="850" spans="2:9">
      <c r="B850" s="93"/>
      <c r="C850" s="86" t="s">
        <v>952</v>
      </c>
      <c r="D850" s="94"/>
      <c r="E850" s="95"/>
      <c r="F850" s="89"/>
      <c r="G850" s="90"/>
      <c r="H850" s="47"/>
      <c r="I850" s="55"/>
    </row>
    <row r="851" spans="2:9">
      <c r="B851" s="93"/>
      <c r="C851" s="86" t="s">
        <v>953</v>
      </c>
      <c r="D851" s="94"/>
      <c r="E851" s="95"/>
      <c r="F851" s="89"/>
      <c r="G851" s="90"/>
      <c r="H851" s="47"/>
      <c r="I851" s="55"/>
    </row>
    <row r="852" spans="2:9" ht="51">
      <c r="B852" s="91">
        <v>18.100000000000001</v>
      </c>
      <c r="C852" s="92" t="s">
        <v>918</v>
      </c>
      <c r="D852" s="87"/>
      <c r="E852" s="88"/>
      <c r="F852" s="89"/>
      <c r="G852" s="90"/>
      <c r="H852" s="47"/>
      <c r="I852" s="55"/>
    </row>
    <row r="853" spans="2:9" ht="54">
      <c r="B853" s="66" t="s">
        <v>919</v>
      </c>
      <c r="C853" s="49" t="s">
        <v>920</v>
      </c>
      <c r="D853" s="50" t="s">
        <v>33</v>
      </c>
      <c r="E853" s="51">
        <f>'[1]18. DOTACION BAÑOS'!J173</f>
        <v>12</v>
      </c>
      <c r="F853" s="52">
        <f>cd18.1.1</f>
        <v>1240886.2051039999</v>
      </c>
      <c r="G853" s="53">
        <f>+ROUND((E853*F853),0)</f>
        <v>14890634</v>
      </c>
      <c r="H853" s="68"/>
      <c r="I853" s="55"/>
    </row>
    <row r="854" spans="2:9" ht="27">
      <c r="B854" s="66" t="s">
        <v>925</v>
      </c>
      <c r="C854" s="49" t="s">
        <v>926</v>
      </c>
      <c r="D854" s="50" t="s">
        <v>33</v>
      </c>
      <c r="E854" s="51">
        <f>'[1]18. DOTACION BAÑOS'!J183</f>
        <v>6</v>
      </c>
      <c r="F854" s="52">
        <f>cd18.1.4</f>
        <v>566554.98686920002</v>
      </c>
      <c r="G854" s="53">
        <f>+ROUND((E854*F854),0)</f>
        <v>3399330</v>
      </c>
      <c r="H854" s="68"/>
      <c r="I854" s="55"/>
    </row>
    <row r="855" spans="2:9" ht="40.5">
      <c r="B855" s="66" t="s">
        <v>927</v>
      </c>
      <c r="C855" s="49" t="s">
        <v>954</v>
      </c>
      <c r="D855" s="50" t="s">
        <v>33</v>
      </c>
      <c r="E855" s="51">
        <f>'[1]18. DOTACION BAÑOS'!J193</f>
        <v>3</v>
      </c>
      <c r="F855" s="52">
        <f>cd18.1.5</f>
        <v>274419.31799800001</v>
      </c>
      <c r="G855" s="53">
        <f>+ROUND((E855*F855),0)</f>
        <v>823258</v>
      </c>
      <c r="H855" s="68"/>
      <c r="I855" s="55"/>
    </row>
    <row r="856" spans="2:9" ht="51">
      <c r="B856" s="91">
        <v>18.2</v>
      </c>
      <c r="C856" s="92" t="s">
        <v>929</v>
      </c>
      <c r="D856" s="87"/>
      <c r="E856" s="88"/>
      <c r="F856" s="89"/>
      <c r="G856" s="90"/>
      <c r="H856" s="47"/>
      <c r="I856" s="55"/>
    </row>
    <row r="857" spans="2:9" ht="40.5">
      <c r="B857" s="66" t="s">
        <v>930</v>
      </c>
      <c r="C857" s="49" t="s">
        <v>955</v>
      </c>
      <c r="D857" s="50" t="s">
        <v>33</v>
      </c>
      <c r="E857" s="51">
        <f>'[1]18. DOTACION BAÑOS'!J205</f>
        <v>12</v>
      </c>
      <c r="F857" s="52">
        <f>cd18.2.1</f>
        <v>262914.66399649996</v>
      </c>
      <c r="G857" s="53">
        <f t="shared" ref="G857:G862" si="23">+ROUND((E857*F857),0)</f>
        <v>3154976</v>
      </c>
      <c r="H857" s="68"/>
      <c r="I857" s="55"/>
    </row>
    <row r="858" spans="2:9" ht="54">
      <c r="B858" s="66" t="s">
        <v>932</v>
      </c>
      <c r="C858" s="49" t="s">
        <v>956</v>
      </c>
      <c r="D858" s="50" t="s">
        <v>33</v>
      </c>
      <c r="E858" s="51">
        <f>'[1]18. DOTACION BAÑOS'!J215</f>
        <v>6</v>
      </c>
      <c r="F858" s="52">
        <f>cd18.2.2</f>
        <v>401038.13702190004</v>
      </c>
      <c r="G858" s="53">
        <f t="shared" si="23"/>
        <v>2406229</v>
      </c>
      <c r="H858" s="68"/>
      <c r="I858" s="55"/>
    </row>
    <row r="859" spans="2:9">
      <c r="B859" s="66" t="s">
        <v>934</v>
      </c>
      <c r="C859" s="49" t="s">
        <v>935</v>
      </c>
      <c r="D859" s="50" t="s">
        <v>33</v>
      </c>
      <c r="E859" s="51">
        <f>'[1]18. DOTACION BAÑOS'!J225</f>
        <v>12</v>
      </c>
      <c r="F859" s="52">
        <f>cd18.2.3</f>
        <v>439294.01259860001</v>
      </c>
      <c r="G859" s="53">
        <f t="shared" si="23"/>
        <v>5271528</v>
      </c>
      <c r="H859" s="68"/>
      <c r="I859" s="55"/>
    </row>
    <row r="860" spans="2:9" ht="40.5">
      <c r="B860" s="66" t="s">
        <v>936</v>
      </c>
      <c r="C860" s="49" t="s">
        <v>957</v>
      </c>
      <c r="D860" s="50" t="s">
        <v>33</v>
      </c>
      <c r="E860" s="51">
        <f>'[1]18. DOTACION BAÑOS'!J235</f>
        <v>6</v>
      </c>
      <c r="F860" s="52">
        <f>cd18.2.4</f>
        <v>409134.37387855002</v>
      </c>
      <c r="G860" s="53">
        <f t="shared" si="23"/>
        <v>2454806</v>
      </c>
      <c r="H860" s="68"/>
      <c r="I860" s="55"/>
    </row>
    <row r="861" spans="2:9">
      <c r="B861" s="66" t="s">
        <v>938</v>
      </c>
      <c r="C861" s="49" t="s">
        <v>939</v>
      </c>
      <c r="D861" s="50" t="s">
        <v>33</v>
      </c>
      <c r="E861" s="51">
        <f>'[1]18. DOTACION BAÑOS'!J245</f>
        <v>6</v>
      </c>
      <c r="F861" s="52">
        <f>cd18.2.5</f>
        <v>70116.132261099992</v>
      </c>
      <c r="G861" s="53">
        <f t="shared" si="23"/>
        <v>420697</v>
      </c>
      <c r="H861" s="68"/>
      <c r="I861" s="55"/>
    </row>
    <row r="862" spans="2:9" ht="54">
      <c r="B862" s="66" t="s">
        <v>942</v>
      </c>
      <c r="C862" s="49" t="s">
        <v>958</v>
      </c>
      <c r="D862" s="50" t="s">
        <v>33</v>
      </c>
      <c r="E862" s="51">
        <f>'[1]18. DOTACION BAÑOS'!J255</f>
        <v>6</v>
      </c>
      <c r="F862" s="52">
        <f>cd18.2.7</f>
        <v>3054594.3560622497</v>
      </c>
      <c r="G862" s="53">
        <f t="shared" si="23"/>
        <v>18327566</v>
      </c>
      <c r="H862" s="68"/>
      <c r="I862" s="55"/>
    </row>
    <row r="863" spans="2:9" ht="51">
      <c r="B863" s="91">
        <v>18.3</v>
      </c>
      <c r="C863" s="92" t="s">
        <v>944</v>
      </c>
      <c r="D863" s="87"/>
      <c r="E863" s="88"/>
      <c r="F863" s="89"/>
      <c r="G863" s="90"/>
      <c r="H863" s="47"/>
      <c r="I863" s="55"/>
    </row>
    <row r="864" spans="2:9">
      <c r="B864" s="66" t="s">
        <v>945</v>
      </c>
      <c r="C864" s="49" t="s">
        <v>946</v>
      </c>
      <c r="D864" s="50" t="s">
        <v>19</v>
      </c>
      <c r="E864" s="51">
        <f>'[1]18. DOTACION BAÑOS'!J267</f>
        <v>4.5</v>
      </c>
      <c r="F864" s="52">
        <f>cd18.3.1</f>
        <v>160274.28650729998</v>
      </c>
      <c r="G864" s="53">
        <f>+ROUND((E864*F864),0)</f>
        <v>721234</v>
      </c>
      <c r="H864" s="68"/>
      <c r="I864" s="55"/>
    </row>
    <row r="865" spans="2:9" ht="51">
      <c r="B865" s="91">
        <v>18.399999999999999</v>
      </c>
      <c r="C865" s="92" t="s">
        <v>947</v>
      </c>
      <c r="D865" s="87"/>
      <c r="E865" s="88"/>
      <c r="F865" s="89"/>
      <c r="G865" s="90"/>
      <c r="H865" s="47"/>
      <c r="I865" s="55"/>
    </row>
    <row r="866" spans="2:9">
      <c r="B866" s="66" t="s">
        <v>948</v>
      </c>
      <c r="C866" s="49" t="s">
        <v>949</v>
      </c>
      <c r="D866" s="50" t="s">
        <v>33</v>
      </c>
      <c r="E866" s="51">
        <f>'[1]18. DOTACION BAÑOS'!J279</f>
        <v>6</v>
      </c>
      <c r="F866" s="52">
        <f>cd18.4.1</f>
        <v>20805.17482575</v>
      </c>
      <c r="G866" s="53">
        <f>+ROUND((E866*F866),0)</f>
        <v>124831</v>
      </c>
      <c r="H866" s="68"/>
      <c r="I866" s="55"/>
    </row>
    <row r="867" spans="2:9">
      <c r="B867" s="66" t="s">
        <v>950</v>
      </c>
      <c r="C867" s="49" t="s">
        <v>951</v>
      </c>
      <c r="D867" s="50" t="s">
        <v>33</v>
      </c>
      <c r="E867" s="51">
        <f>'[1]18. DOTACION BAÑOS'!J289</f>
        <v>6</v>
      </c>
      <c r="F867" s="52">
        <f>cd18.4.2</f>
        <v>58847.064530800002</v>
      </c>
      <c r="G867" s="53">
        <f>+ROUND((E867*F867),0)</f>
        <v>353082</v>
      </c>
      <c r="H867" s="68"/>
      <c r="I867" s="55"/>
    </row>
    <row r="868" spans="2:9">
      <c r="B868" s="41">
        <v>19</v>
      </c>
      <c r="C868" s="56" t="s">
        <v>959</v>
      </c>
      <c r="D868" s="57"/>
      <c r="E868" s="58"/>
      <c r="F868" s="65"/>
      <c r="G868" s="60"/>
      <c r="H868" s="47">
        <f>SUM(G869:G888)</f>
        <v>117752189</v>
      </c>
      <c r="I868" s="55"/>
    </row>
    <row r="869" spans="2:9" ht="68.25" customHeight="1">
      <c r="B869" s="91">
        <v>19.100000000000001</v>
      </c>
      <c r="C869" s="92" t="s">
        <v>960</v>
      </c>
      <c r="D869" s="87"/>
      <c r="E869" s="88"/>
      <c r="F869" s="89"/>
      <c r="G869" s="90"/>
      <c r="H869" s="47"/>
      <c r="I869" s="55"/>
    </row>
    <row r="870" spans="2:9">
      <c r="B870" s="85"/>
      <c r="C870" s="86" t="s">
        <v>106</v>
      </c>
      <c r="D870" s="87"/>
      <c r="E870" s="88"/>
      <c r="F870" s="89"/>
      <c r="G870" s="90"/>
      <c r="H870" s="47"/>
      <c r="I870" s="55"/>
    </row>
    <row r="871" spans="2:9">
      <c r="B871" s="66" t="s">
        <v>961</v>
      </c>
      <c r="C871" s="49" t="s">
        <v>962</v>
      </c>
      <c r="D871" s="50" t="s">
        <v>19</v>
      </c>
      <c r="E871" s="51">
        <f>'[1]19. PINTURAS'!J12</f>
        <v>234.78</v>
      </c>
      <c r="F871" s="52">
        <f>cd19.1.1</f>
        <v>13728.54058212</v>
      </c>
      <c r="G871" s="53">
        <f>+ROUND((E871*F871),0)</f>
        <v>3223187</v>
      </c>
      <c r="H871" s="68"/>
      <c r="I871" s="55"/>
    </row>
    <row r="872" spans="2:9">
      <c r="B872" s="66" t="s">
        <v>961</v>
      </c>
      <c r="C872" s="49" t="s">
        <v>963</v>
      </c>
      <c r="D872" s="50" t="s">
        <v>19</v>
      </c>
      <c r="E872" s="51">
        <f>'[1]19. PINTURAS'!J22</f>
        <v>287.51100000000002</v>
      </c>
      <c r="F872" s="52">
        <f>cd19.1.1</f>
        <v>13728.54058212</v>
      </c>
      <c r="G872" s="53">
        <f>+ROUND((E872*F872),0)</f>
        <v>3947106</v>
      </c>
      <c r="H872" s="68"/>
      <c r="I872" s="55"/>
    </row>
    <row r="873" spans="2:9">
      <c r="B873" s="66" t="s">
        <v>961</v>
      </c>
      <c r="C873" s="49" t="s">
        <v>964</v>
      </c>
      <c r="D873" s="50" t="s">
        <v>19</v>
      </c>
      <c r="E873" s="51">
        <f>'[1]19. PINTURAS'!J32</f>
        <v>287.51100000000002</v>
      </c>
      <c r="F873" s="52">
        <f>cd19.1.1</f>
        <v>13728.54058212</v>
      </c>
      <c r="G873" s="53">
        <f>+ROUND((E873*F873),0)</f>
        <v>3947106</v>
      </c>
      <c r="H873" s="68"/>
      <c r="I873" s="55"/>
    </row>
    <row r="874" spans="2:9">
      <c r="B874" s="85"/>
      <c r="C874" s="86" t="s">
        <v>113</v>
      </c>
      <c r="D874" s="87"/>
      <c r="E874" s="88"/>
      <c r="F874" s="89"/>
      <c r="G874" s="90"/>
      <c r="H874" s="47"/>
      <c r="I874" s="55"/>
    </row>
    <row r="875" spans="2:9">
      <c r="B875" s="66" t="s">
        <v>961</v>
      </c>
      <c r="C875" s="49" t="s">
        <v>962</v>
      </c>
      <c r="D875" s="50" t="s">
        <v>19</v>
      </c>
      <c r="E875" s="51">
        <f>'[1]19. PINTURAS'!J46</f>
        <v>145.5</v>
      </c>
      <c r="F875" s="52">
        <f>cd19.1.1</f>
        <v>13728.54058212</v>
      </c>
      <c r="G875" s="53">
        <f>+ROUND((E875*F875),0)</f>
        <v>1997503</v>
      </c>
      <c r="H875" s="68"/>
      <c r="I875" s="55"/>
    </row>
    <row r="876" spans="2:9">
      <c r="B876" s="66" t="s">
        <v>961</v>
      </c>
      <c r="C876" s="49" t="s">
        <v>963</v>
      </c>
      <c r="D876" s="50" t="s">
        <v>19</v>
      </c>
      <c r="E876" s="51">
        <f>'[1]19. PINTURAS'!J56</f>
        <v>523.9</v>
      </c>
      <c r="F876" s="52">
        <f>cd19.1.1</f>
        <v>13728.54058212</v>
      </c>
      <c r="G876" s="53">
        <f>+ROUND((E876*F876),0)</f>
        <v>7192382</v>
      </c>
      <c r="H876" s="68"/>
      <c r="I876" s="55"/>
    </row>
    <row r="877" spans="2:9">
      <c r="B877" s="66" t="s">
        <v>961</v>
      </c>
      <c r="C877" s="49" t="s">
        <v>964</v>
      </c>
      <c r="D877" s="50" t="s">
        <v>19</v>
      </c>
      <c r="E877" s="51">
        <f>'[1]19. PINTURAS'!J66</f>
        <v>771.65</v>
      </c>
      <c r="F877" s="52">
        <f>cd19.1.1</f>
        <v>13728.54058212</v>
      </c>
      <c r="G877" s="53">
        <f>+ROUND((E877*F877),0)</f>
        <v>10593628</v>
      </c>
      <c r="H877" s="68"/>
      <c r="I877" s="55"/>
    </row>
    <row r="878" spans="2:9">
      <c r="B878" s="66" t="s">
        <v>961</v>
      </c>
      <c r="C878" s="49" t="s">
        <v>965</v>
      </c>
      <c r="D878" s="50" t="s">
        <v>19</v>
      </c>
      <c r="E878" s="51">
        <f>'[1]19. PINTURAS'!J76</f>
        <v>545.25</v>
      </c>
      <c r="F878" s="52">
        <f>cd19.1.1</f>
        <v>13728.54058212</v>
      </c>
      <c r="G878" s="53">
        <f>+ROUND((E878*F878),0)</f>
        <v>7485487</v>
      </c>
      <c r="H878" s="68"/>
      <c r="I878" s="55"/>
    </row>
    <row r="879" spans="2:9">
      <c r="B879" s="85"/>
      <c r="C879" s="86" t="s">
        <v>118</v>
      </c>
      <c r="D879" s="87"/>
      <c r="E879" s="88"/>
      <c r="F879" s="89"/>
      <c r="G879" s="90"/>
      <c r="H879" s="47"/>
      <c r="I879" s="55"/>
    </row>
    <row r="880" spans="2:9">
      <c r="B880" s="66" t="s">
        <v>961</v>
      </c>
      <c r="C880" s="49" t="s">
        <v>962</v>
      </c>
      <c r="D880" s="50" t="s">
        <v>19</v>
      </c>
      <c r="E880" s="51">
        <f>'[1]19. PINTURAS'!J90</f>
        <v>831.7</v>
      </c>
      <c r="F880" s="52">
        <f>cd19.1.1</f>
        <v>13728.54058212</v>
      </c>
      <c r="G880" s="53">
        <f>+ROUND((E880*F880),0)</f>
        <v>11418027</v>
      </c>
      <c r="H880" s="68"/>
      <c r="I880" s="55"/>
    </row>
    <row r="881" spans="2:9">
      <c r="B881" s="66" t="s">
        <v>961</v>
      </c>
      <c r="C881" s="49" t="s">
        <v>963</v>
      </c>
      <c r="D881" s="50" t="s">
        <v>19</v>
      </c>
      <c r="E881" s="51">
        <f>'[1]19. PINTURAS'!J100</f>
        <v>630.65</v>
      </c>
      <c r="F881" s="52">
        <f>cd19.1.1</f>
        <v>13728.54058212</v>
      </c>
      <c r="G881" s="53">
        <f>+ROUND((E881*F881),0)</f>
        <v>8657904</v>
      </c>
      <c r="H881" s="68"/>
      <c r="I881" s="55"/>
    </row>
    <row r="882" spans="2:9">
      <c r="B882" s="66" t="s">
        <v>961</v>
      </c>
      <c r="C882" s="49" t="s">
        <v>964</v>
      </c>
      <c r="D882" s="50" t="s">
        <v>19</v>
      </c>
      <c r="E882" s="51">
        <f>'[1]19. PINTURAS'!J110</f>
        <v>669.06</v>
      </c>
      <c r="F882" s="52">
        <f>cd19.1.1</f>
        <v>13728.54058212</v>
      </c>
      <c r="G882" s="53">
        <f>+ROUND((E882*F882),0)</f>
        <v>9185217</v>
      </c>
      <c r="H882" s="68"/>
      <c r="I882" s="55"/>
    </row>
    <row r="883" spans="2:9">
      <c r="B883" s="66" t="s">
        <v>961</v>
      </c>
      <c r="C883" s="49" t="s">
        <v>965</v>
      </c>
      <c r="D883" s="50" t="s">
        <v>19</v>
      </c>
      <c r="E883" s="51">
        <f>'[1]19. PINTURAS'!J120</f>
        <v>669.06</v>
      </c>
      <c r="F883" s="52">
        <f>cd19.1.1</f>
        <v>13728.54058212</v>
      </c>
      <c r="G883" s="53">
        <f>+ROUND((E883*F883),0)</f>
        <v>9185217</v>
      </c>
      <c r="H883" s="68"/>
      <c r="I883" s="55"/>
    </row>
    <row r="884" spans="2:9">
      <c r="B884" s="85"/>
      <c r="C884" s="86" t="s">
        <v>120</v>
      </c>
      <c r="D884" s="87"/>
      <c r="E884" s="88"/>
      <c r="F884" s="89"/>
      <c r="G884" s="90"/>
      <c r="H884" s="47"/>
      <c r="I884" s="55"/>
    </row>
    <row r="885" spans="2:9">
      <c r="B885" s="66" t="s">
        <v>961</v>
      </c>
      <c r="C885" s="49" t="s">
        <v>962</v>
      </c>
      <c r="D885" s="50" t="s">
        <v>19</v>
      </c>
      <c r="E885" s="51">
        <f>'[1]19. PINTURAS'!J134</f>
        <v>672.01</v>
      </c>
      <c r="F885" s="52">
        <f>cd19.1.1</f>
        <v>13728.54058212</v>
      </c>
      <c r="G885" s="53">
        <f>+ROUND((E885*F885),0)</f>
        <v>9225717</v>
      </c>
      <c r="H885" s="68"/>
      <c r="I885" s="55"/>
    </row>
    <row r="886" spans="2:9">
      <c r="B886" s="66" t="s">
        <v>961</v>
      </c>
      <c r="C886" s="49" t="s">
        <v>963</v>
      </c>
      <c r="D886" s="50" t="s">
        <v>19</v>
      </c>
      <c r="E886" s="51">
        <f>'[1]19. PINTURAS'!J144</f>
        <v>781.95</v>
      </c>
      <c r="F886" s="52">
        <f>cd19.1.1</f>
        <v>13728.54058212</v>
      </c>
      <c r="G886" s="53">
        <f>+ROUND((E886*F886),0)</f>
        <v>10735032</v>
      </c>
      <c r="H886" s="68"/>
      <c r="I886" s="55"/>
    </row>
    <row r="887" spans="2:9">
      <c r="B887" s="66" t="s">
        <v>961</v>
      </c>
      <c r="C887" s="49" t="s">
        <v>964</v>
      </c>
      <c r="D887" s="50" t="s">
        <v>19</v>
      </c>
      <c r="E887" s="51">
        <f>'[1]19. PINTURAS'!J154</f>
        <v>781.95</v>
      </c>
      <c r="F887" s="52">
        <f>cd19.1.1</f>
        <v>13728.54058212</v>
      </c>
      <c r="G887" s="53">
        <f>+ROUND((E887*F887),0)</f>
        <v>10735032</v>
      </c>
      <c r="H887" s="68"/>
      <c r="I887" s="55"/>
    </row>
    <row r="888" spans="2:9">
      <c r="B888" s="66" t="s">
        <v>961</v>
      </c>
      <c r="C888" s="49" t="s">
        <v>965</v>
      </c>
      <c r="D888" s="50" t="s">
        <v>19</v>
      </c>
      <c r="E888" s="51">
        <f>'[1]19. PINTURAS'!J164</f>
        <v>744.7</v>
      </c>
      <c r="F888" s="52">
        <f>cd19.1.1</f>
        <v>13728.54058212</v>
      </c>
      <c r="G888" s="53">
        <f>+ROUND((E888*F888),0)</f>
        <v>10223644</v>
      </c>
      <c r="H888" s="68"/>
      <c r="I888" s="55"/>
    </row>
    <row r="889" spans="2:9">
      <c r="B889" s="41">
        <v>20</v>
      </c>
      <c r="C889" s="56" t="s">
        <v>966</v>
      </c>
      <c r="D889" s="57"/>
      <c r="E889" s="58"/>
      <c r="F889" s="65"/>
      <c r="G889" s="60"/>
      <c r="H889" s="47">
        <f>SUM(G890:G891)</f>
        <v>555000000</v>
      </c>
      <c r="I889" s="55"/>
    </row>
    <row r="890" spans="2:9" ht="51">
      <c r="B890" s="91">
        <v>20.100000000000001</v>
      </c>
      <c r="C890" s="92" t="s">
        <v>967</v>
      </c>
      <c r="D890" s="87"/>
      <c r="E890" s="88"/>
      <c r="F890" s="89"/>
      <c r="G890" s="90"/>
      <c r="H890" s="47"/>
      <c r="I890" s="55"/>
    </row>
    <row r="891" spans="2:9" ht="67.5">
      <c r="B891" s="66" t="s">
        <v>968</v>
      </c>
      <c r="C891" s="49" t="s">
        <v>969</v>
      </c>
      <c r="D891" s="155" t="s">
        <v>33</v>
      </c>
      <c r="E891" s="51">
        <f>'[1]20. EQUIPOS ESPECIALES'!J12</f>
        <v>3</v>
      </c>
      <c r="F891" s="52">
        <f>cd20.1.1</f>
        <v>185000000</v>
      </c>
      <c r="G891" s="53">
        <f>+ROUND((E891*F891),0)</f>
        <v>555000000</v>
      </c>
      <c r="H891" s="68"/>
      <c r="I891" s="55"/>
    </row>
    <row r="892" spans="2:9">
      <c r="B892" s="41">
        <v>21</v>
      </c>
      <c r="C892" s="56" t="s">
        <v>970</v>
      </c>
      <c r="D892" s="57"/>
      <c r="E892" s="58"/>
      <c r="F892" s="65"/>
      <c r="G892" s="60"/>
      <c r="H892" s="47">
        <f>SUM(G893:G909)</f>
        <v>506240240</v>
      </c>
      <c r="I892" s="55"/>
    </row>
    <row r="893" spans="2:9" ht="63.75" customHeight="1">
      <c r="B893" s="91">
        <v>21.1</v>
      </c>
      <c r="C893" s="92" t="s">
        <v>971</v>
      </c>
      <c r="D893" s="87"/>
      <c r="E893" s="88"/>
      <c r="F893" s="89"/>
      <c r="G893" s="90"/>
      <c r="H893" s="47"/>
      <c r="I893" s="55"/>
    </row>
    <row r="894" spans="2:9">
      <c r="B894" s="66" t="s">
        <v>972</v>
      </c>
      <c r="C894" s="49" t="s">
        <v>973</v>
      </c>
      <c r="D894" s="50" t="s">
        <v>24</v>
      </c>
      <c r="E894" s="51">
        <f>'[1]21. ESPACIO PUBLICO'!J12</f>
        <v>61.2</v>
      </c>
      <c r="F894" s="52">
        <f>cd21.1.2</f>
        <v>450935.92985670001</v>
      </c>
      <c r="G894" s="53">
        <f>+ROUND((E894*F894),0)</f>
        <v>27597279</v>
      </c>
      <c r="H894" s="68"/>
      <c r="I894" s="55"/>
    </row>
    <row r="895" spans="2:9" ht="68.25" customHeight="1">
      <c r="B895" s="91">
        <v>21.2</v>
      </c>
      <c r="C895" s="92" t="s">
        <v>974</v>
      </c>
      <c r="D895" s="87"/>
      <c r="E895" s="88"/>
      <c r="F895" s="89"/>
      <c r="G895" s="90"/>
      <c r="H895" s="47"/>
      <c r="I895" s="55"/>
    </row>
    <row r="896" spans="2:9">
      <c r="B896" s="66" t="s">
        <v>975</v>
      </c>
      <c r="C896" s="49" t="s">
        <v>976</v>
      </c>
      <c r="D896" s="50" t="s">
        <v>54</v>
      </c>
      <c r="E896" s="51">
        <f>'[1]21. ESPACIO PUBLICO'!J27</f>
        <v>1163</v>
      </c>
      <c r="F896" s="52">
        <f>cd21.2.1</f>
        <v>44993.026784896043</v>
      </c>
      <c r="G896" s="53">
        <f t="shared" ref="G896:G901" si="24">+ROUND((E896*F896),0)</f>
        <v>52326890</v>
      </c>
      <c r="H896" s="68"/>
      <c r="I896" s="55"/>
    </row>
    <row r="897" spans="2:9">
      <c r="B897" s="66" t="s">
        <v>977</v>
      </c>
      <c r="C897" s="49" t="s">
        <v>978</v>
      </c>
      <c r="D897" s="50" t="s">
        <v>54</v>
      </c>
      <c r="E897" s="51">
        <f>'[1]21. ESPACIO PUBLICO'!J40</f>
        <v>2326</v>
      </c>
      <c r="F897" s="52">
        <f>cd21.2.2</f>
        <v>12691.686288338749</v>
      </c>
      <c r="G897" s="53">
        <f t="shared" si="24"/>
        <v>29520862</v>
      </c>
      <c r="H897" s="68"/>
      <c r="I897" s="55"/>
    </row>
    <row r="898" spans="2:9">
      <c r="B898" s="66" t="s">
        <v>979</v>
      </c>
      <c r="C898" s="49" t="s">
        <v>980</v>
      </c>
      <c r="D898" s="50" t="s">
        <v>19</v>
      </c>
      <c r="E898" s="51">
        <f>'[1]21. ESPACIO PUBLICO'!J51</f>
        <v>1068.8999999999999</v>
      </c>
      <c r="F898" s="52">
        <f>cd21.2.3</f>
        <v>59636.2740939</v>
      </c>
      <c r="G898" s="53">
        <f t="shared" si="24"/>
        <v>63745213</v>
      </c>
      <c r="H898" s="68"/>
      <c r="I898" s="55"/>
    </row>
    <row r="899" spans="2:9" ht="40.5">
      <c r="B899" s="66" t="s">
        <v>981</v>
      </c>
      <c r="C899" s="49" t="s">
        <v>982</v>
      </c>
      <c r="D899" s="50" t="s">
        <v>19</v>
      </c>
      <c r="E899" s="51">
        <f>'[1]21. ESPACIO PUBLICO'!J62</f>
        <v>1068.8999999999999</v>
      </c>
      <c r="F899" s="52">
        <f>cd21.2.4</f>
        <v>81475.598998999994</v>
      </c>
      <c r="G899" s="53">
        <f t="shared" si="24"/>
        <v>87089268</v>
      </c>
      <c r="H899" s="68"/>
      <c r="I899" s="55"/>
    </row>
    <row r="900" spans="2:9" ht="27">
      <c r="B900" s="66" t="s">
        <v>983</v>
      </c>
      <c r="C900" s="49" t="s">
        <v>984</v>
      </c>
      <c r="D900" s="50" t="s">
        <v>54</v>
      </c>
      <c r="E900" s="51">
        <f>'[1]21. ESPACIO PUBLICO'!J73</f>
        <v>963</v>
      </c>
      <c r="F900" s="52">
        <f>cd21.2.5</f>
        <v>64489.985121449994</v>
      </c>
      <c r="G900" s="53">
        <f t="shared" si="24"/>
        <v>62103856</v>
      </c>
      <c r="H900" s="68"/>
      <c r="I900" s="55"/>
    </row>
    <row r="901" spans="2:9">
      <c r="B901" s="66" t="s">
        <v>985</v>
      </c>
      <c r="C901" s="49" t="s">
        <v>986</v>
      </c>
      <c r="D901" s="50" t="s">
        <v>54</v>
      </c>
      <c r="E901" s="51">
        <f>'[1]21. ESPACIO PUBLICO'!J84</f>
        <v>963</v>
      </c>
      <c r="F901" s="52">
        <f>cd21.2.6</f>
        <v>37384.905434435001</v>
      </c>
      <c r="G901" s="53">
        <f t="shared" si="24"/>
        <v>36001664</v>
      </c>
      <c r="H901" s="68"/>
      <c r="I901" s="55"/>
    </row>
    <row r="902" spans="2:9" ht="78.75" customHeight="1">
      <c r="B902" s="91">
        <v>21.3</v>
      </c>
      <c r="C902" s="92" t="s">
        <v>987</v>
      </c>
      <c r="D902" s="87"/>
      <c r="E902" s="88"/>
      <c r="F902" s="89"/>
      <c r="G902" s="90"/>
      <c r="H902" s="47"/>
      <c r="I902" s="55"/>
    </row>
    <row r="903" spans="2:9" ht="40.5">
      <c r="B903" s="66" t="s">
        <v>988</v>
      </c>
      <c r="C903" s="49" t="s">
        <v>989</v>
      </c>
      <c r="D903" s="50" t="s">
        <v>33</v>
      </c>
      <c r="E903" s="51">
        <f>'[1]21. ESPACIO PUBLICO'!J97</f>
        <v>16</v>
      </c>
      <c r="F903" s="52">
        <f>cd21.3.1</f>
        <v>779205.0401746626</v>
      </c>
      <c r="G903" s="53">
        <f>+ROUND((E903*F903),0)</f>
        <v>12467281</v>
      </c>
      <c r="H903" s="68"/>
      <c r="I903" s="55"/>
    </row>
    <row r="904" spans="2:9" ht="54">
      <c r="B904" s="66" t="s">
        <v>990</v>
      </c>
      <c r="C904" s="49" t="s">
        <v>991</v>
      </c>
      <c r="D904" s="50" t="s">
        <v>33</v>
      </c>
      <c r="E904" s="51">
        <f>'[1]21. ESPACIO PUBLICO'!J107</f>
        <v>50</v>
      </c>
      <c r="F904" s="52">
        <f>cd21.3.2</f>
        <v>733506.33427566267</v>
      </c>
      <c r="G904" s="53">
        <f>+ROUND((E904*F904),0)</f>
        <v>36675317</v>
      </c>
      <c r="H904" s="68"/>
      <c r="I904" s="55"/>
    </row>
    <row r="905" spans="2:9" ht="27">
      <c r="B905" s="66" t="s">
        <v>992</v>
      </c>
      <c r="C905" s="49" t="s">
        <v>993</v>
      </c>
      <c r="D905" s="50" t="s">
        <v>33</v>
      </c>
      <c r="E905" s="51">
        <f>'[1]21. ESPACIO PUBLICO'!J117</f>
        <v>64</v>
      </c>
      <c r="F905" s="52">
        <f>cd21.3.3</f>
        <v>74156.935081100019</v>
      </c>
      <c r="G905" s="53">
        <f>+ROUND((E905*F905),0)</f>
        <v>4746044</v>
      </c>
      <c r="H905" s="68"/>
      <c r="I905" s="55"/>
    </row>
    <row r="906" spans="2:9" ht="51">
      <c r="B906" s="91">
        <v>21.4</v>
      </c>
      <c r="C906" s="92" t="s">
        <v>994</v>
      </c>
      <c r="D906" s="87"/>
      <c r="E906" s="88"/>
      <c r="F906" s="89"/>
      <c r="G906" s="90"/>
      <c r="H906" s="47"/>
      <c r="I906" s="55"/>
    </row>
    <row r="907" spans="2:9">
      <c r="B907" s="66" t="s">
        <v>995</v>
      </c>
      <c r="C907" s="49" t="s">
        <v>996</v>
      </c>
      <c r="D907" s="50" t="s">
        <v>19</v>
      </c>
      <c r="E907" s="51">
        <f>'[1]21. ESPACIO PUBLICO'!J129</f>
        <v>855</v>
      </c>
      <c r="F907" s="52">
        <f>cd21.4.1</f>
        <v>17527.83351837</v>
      </c>
      <c r="G907" s="53">
        <f>+ROUND((E907*F907),0)</f>
        <v>14986298</v>
      </c>
      <c r="H907" s="68"/>
      <c r="I907" s="55"/>
    </row>
    <row r="908" spans="2:9" ht="27">
      <c r="B908" s="66" t="s">
        <v>997</v>
      </c>
      <c r="C908" s="49" t="s">
        <v>998</v>
      </c>
      <c r="D908" s="50" t="s">
        <v>19</v>
      </c>
      <c r="E908" s="51">
        <f>'[1]21. ESPACIO PUBLICO'!J142</f>
        <v>855</v>
      </c>
      <c r="F908" s="52">
        <f>cd21.4.2</f>
        <v>87625.239404380001</v>
      </c>
      <c r="G908" s="53">
        <f>+ROUND((E908*F908),0)</f>
        <v>74919580</v>
      </c>
      <c r="H908" s="68"/>
      <c r="I908" s="55"/>
    </row>
    <row r="909" spans="2:9">
      <c r="B909" s="66" t="s">
        <v>999</v>
      </c>
      <c r="C909" s="49" t="s">
        <v>1000</v>
      </c>
      <c r="D909" s="50" t="s">
        <v>33</v>
      </c>
      <c r="E909" s="51">
        <f>'[1]21. ESPACIO PUBLICO'!J152</f>
        <v>50</v>
      </c>
      <c r="F909" s="52">
        <f>cd21.4.3</f>
        <v>81213.758952189994</v>
      </c>
      <c r="G909" s="53">
        <f>+ROUND((E909*F909),0)</f>
        <v>4060688</v>
      </c>
      <c r="H909" s="68"/>
      <c r="I909" s="55"/>
    </row>
    <row r="910" spans="2:9">
      <c r="B910" s="41">
        <v>22</v>
      </c>
      <c r="C910" s="56" t="s">
        <v>1001</v>
      </c>
      <c r="D910" s="57"/>
      <c r="E910" s="58"/>
      <c r="F910" s="156"/>
      <c r="G910" s="60"/>
      <c r="H910" s="47">
        <f>SUM(G910:G915)</f>
        <v>80375596</v>
      </c>
      <c r="I910" s="55"/>
    </row>
    <row r="911" spans="2:9">
      <c r="B911" s="91">
        <v>22.1</v>
      </c>
      <c r="C911" s="92" t="s">
        <v>1002</v>
      </c>
      <c r="D911" s="87"/>
      <c r="E911" s="88"/>
      <c r="F911" s="89"/>
      <c r="G911" s="90"/>
      <c r="H911" s="47"/>
      <c r="I911" s="55"/>
    </row>
    <row r="912" spans="2:9">
      <c r="B912" s="66" t="s">
        <v>1003</v>
      </c>
      <c r="C912" s="49" t="s">
        <v>1004</v>
      </c>
      <c r="D912" s="50" t="s">
        <v>19</v>
      </c>
      <c r="E912" s="51">
        <f>'[1]22. ASEO Y LIMPIEZA'!J12</f>
        <v>5302.86</v>
      </c>
      <c r="F912" s="52">
        <f>cd22.1.1</f>
        <v>3622.5592685624997</v>
      </c>
      <c r="G912" s="53">
        <f>+ROUND((E912*F912),0)</f>
        <v>19209925</v>
      </c>
      <c r="H912" s="68"/>
      <c r="I912" s="55"/>
    </row>
    <row r="913" spans="2:16">
      <c r="B913" s="66" t="s">
        <v>1005</v>
      </c>
      <c r="C913" s="67" t="s">
        <v>1006</v>
      </c>
      <c r="D913" s="50" t="s">
        <v>19</v>
      </c>
      <c r="E913" s="51">
        <f>'[1]22. ASEO Y LIMPIEZA'!J22</f>
        <v>5302.86</v>
      </c>
      <c r="F913" s="52">
        <f>cd22.1.2</f>
        <v>7036.093637125</v>
      </c>
      <c r="G913" s="53">
        <f>+ROUND((E913*F913),0)</f>
        <v>37311420</v>
      </c>
      <c r="H913" s="68"/>
      <c r="I913" s="157"/>
      <c r="J913" s="158"/>
      <c r="K913" s="158"/>
      <c r="L913" s="158"/>
      <c r="M913" s="158"/>
      <c r="N913" s="158"/>
      <c r="O913" s="158"/>
      <c r="P913" s="158"/>
    </row>
    <row r="914" spans="2:16">
      <c r="B914" s="91">
        <v>22.2</v>
      </c>
      <c r="C914" s="92" t="s">
        <v>1007</v>
      </c>
      <c r="D914" s="87"/>
      <c r="E914" s="88"/>
      <c r="F914" s="89"/>
      <c r="G914" s="90"/>
      <c r="H914" s="47"/>
      <c r="I914" s="157"/>
      <c r="J914" s="158"/>
      <c r="K914" s="158"/>
      <c r="L914" s="158"/>
      <c r="M914" s="158"/>
      <c r="N914" s="158"/>
      <c r="O914" s="158"/>
      <c r="P914" s="158"/>
    </row>
    <row r="915" spans="2:16">
      <c r="B915" s="66" t="s">
        <v>1008</v>
      </c>
      <c r="C915" s="49" t="s">
        <v>1009</v>
      </c>
      <c r="D915" s="50" t="s">
        <v>19</v>
      </c>
      <c r="E915" s="51">
        <f>'[1]22. ASEO Y LIMPIEZA'!J34</f>
        <v>5338.2</v>
      </c>
      <c r="F915" s="52">
        <f>cd22.2.1</f>
        <v>4468.5945246270003</v>
      </c>
      <c r="G915" s="53">
        <f>+ROUND((E915*F915),0)</f>
        <v>23854251</v>
      </c>
      <c r="H915" s="68"/>
      <c r="I915" s="157"/>
      <c r="J915" s="158"/>
      <c r="K915" s="159"/>
      <c r="L915" s="158"/>
      <c r="M915" s="158"/>
      <c r="N915" s="158"/>
      <c r="O915" s="158"/>
      <c r="P915" s="158"/>
    </row>
    <row r="916" spans="2:16">
      <c r="B916" s="160" t="s">
        <v>1010</v>
      </c>
      <c r="C916" s="161"/>
      <c r="D916" s="162"/>
      <c r="E916" s="163"/>
      <c r="F916" s="164"/>
      <c r="G916" s="164"/>
      <c r="H916" s="165">
        <f>SUM(H25:H915)</f>
        <v>13182047474.000093</v>
      </c>
      <c r="I916" s="157"/>
      <c r="J916" s="166"/>
      <c r="K916" s="158"/>
      <c r="L916" s="4"/>
      <c r="M916" s="4"/>
      <c r="N916" s="4"/>
      <c r="O916" s="158"/>
      <c r="P916" s="158"/>
    </row>
    <row r="917" spans="2:16">
      <c r="B917" s="167" t="s">
        <v>1011</v>
      </c>
      <c r="C917" s="168"/>
      <c r="D917" s="169"/>
      <c r="E917" s="170"/>
      <c r="F917" s="171"/>
      <c r="G917" s="171"/>
      <c r="H917" s="47">
        <f>SUM(H918:H921)</f>
        <v>4079843693.2030287</v>
      </c>
      <c r="I917" s="157"/>
      <c r="J917" s="158"/>
      <c r="K917" s="158"/>
      <c r="L917" s="4"/>
      <c r="M917" s="4"/>
      <c r="N917" s="4"/>
      <c r="O917" s="158"/>
      <c r="P917" s="158"/>
    </row>
    <row r="918" spans="2:16">
      <c r="B918" s="167"/>
      <c r="C918" s="172" t="s">
        <v>1012</v>
      </c>
      <c r="D918" s="173">
        <v>0.2</v>
      </c>
      <c r="E918" s="174"/>
      <c r="F918" s="175"/>
      <c r="G918" s="175"/>
      <c r="H918" s="176">
        <f>(H916)*D918</f>
        <v>2636409494.8000188</v>
      </c>
      <c r="I918" s="157"/>
      <c r="J918" s="158"/>
      <c r="K918" s="158"/>
      <c r="L918" s="4"/>
      <c r="M918" s="4"/>
      <c r="N918" s="4"/>
      <c r="O918" s="158"/>
      <c r="P918" s="158"/>
    </row>
    <row r="919" spans="2:16">
      <c r="B919" s="167"/>
      <c r="C919" s="172" t="s">
        <v>1013</v>
      </c>
      <c r="D919" s="173">
        <v>0.05</v>
      </c>
      <c r="E919" s="174"/>
      <c r="F919" s="175"/>
      <c r="G919" s="175"/>
      <c r="H919" s="176">
        <f>(H916)*D919</f>
        <v>659102373.7000047</v>
      </c>
      <c r="I919" s="157"/>
      <c r="J919" s="177"/>
      <c r="K919" s="177"/>
      <c r="L919" s="4"/>
      <c r="M919" s="4"/>
      <c r="N919" s="4"/>
      <c r="O919" s="158"/>
      <c r="P919" s="158"/>
    </row>
    <row r="920" spans="2:16">
      <c r="B920" s="178"/>
      <c r="C920" s="172" t="s">
        <v>1014</v>
      </c>
      <c r="D920" s="173">
        <v>0.05</v>
      </c>
      <c r="E920" s="174"/>
      <c r="F920" s="175"/>
      <c r="G920" s="175"/>
      <c r="H920" s="176">
        <f>(H916)*D920</f>
        <v>659102373.7000047</v>
      </c>
      <c r="I920" s="179"/>
      <c r="J920" s="180"/>
      <c r="K920" s="181"/>
      <c r="L920" s="4"/>
      <c r="M920" s="4"/>
      <c r="N920" s="4"/>
      <c r="O920" s="158"/>
      <c r="P920" s="158"/>
    </row>
    <row r="921" spans="2:16">
      <c r="B921" s="278"/>
      <c r="C921" s="279" t="s">
        <v>1133</v>
      </c>
      <c r="D921" s="280">
        <v>0.19</v>
      </c>
      <c r="E921" s="281"/>
      <c r="F921" s="282"/>
      <c r="G921" s="282"/>
      <c r="H921" s="283">
        <f>H920*0.19</f>
        <v>125229451.0030009</v>
      </c>
      <c r="I921" s="179"/>
      <c r="J921" s="180"/>
      <c r="K921" s="181"/>
      <c r="L921" s="4"/>
      <c r="M921" s="4"/>
      <c r="N921" s="4"/>
      <c r="O921" s="158"/>
      <c r="P921" s="158"/>
    </row>
    <row r="922" spans="2:16">
      <c r="B922" s="182" t="s">
        <v>1015</v>
      </c>
      <c r="C922" s="183"/>
      <c r="D922" s="184"/>
      <c r="E922" s="185"/>
      <c r="F922" s="186"/>
      <c r="G922" s="186"/>
      <c r="H922" s="187">
        <f>H916+H917</f>
        <v>17261891167.203121</v>
      </c>
      <c r="I922" s="179"/>
      <c r="J922" s="181"/>
      <c r="K922" s="188"/>
      <c r="L922" s="69"/>
      <c r="M922" s="189"/>
      <c r="N922" s="4"/>
      <c r="O922" s="158"/>
      <c r="P922" s="158"/>
    </row>
    <row r="923" spans="2:16" ht="15.75">
      <c r="B923" s="190"/>
      <c r="C923" s="190"/>
      <c r="D923" s="191"/>
      <c r="E923" s="192"/>
      <c r="F923" s="193"/>
      <c r="G923" s="193"/>
      <c r="H923" s="194"/>
      <c r="I923" s="179"/>
      <c r="J923" s="158"/>
      <c r="K923" s="158"/>
      <c r="L923" s="4"/>
      <c r="M923" s="4"/>
      <c r="N923" s="4"/>
      <c r="O923" s="158"/>
      <c r="P923" s="158"/>
    </row>
    <row r="924" spans="2:16">
      <c r="B924" s="195" t="s">
        <v>1016</v>
      </c>
      <c r="C924" s="196"/>
      <c r="D924" s="196"/>
      <c r="E924" s="196"/>
      <c r="F924" s="196"/>
      <c r="G924" s="197"/>
      <c r="H924" s="198">
        <f>H925+H926</f>
        <v>11835423</v>
      </c>
      <c r="I924" s="179"/>
      <c r="K924" s="158"/>
      <c r="L924" s="4"/>
      <c r="M924" s="4"/>
      <c r="N924" s="4"/>
      <c r="O924" s="158"/>
      <c r="P924" s="158"/>
    </row>
    <row r="925" spans="2:16">
      <c r="B925" s="66" t="s">
        <v>1017</v>
      </c>
      <c r="C925" s="49" t="s">
        <v>1018</v>
      </c>
      <c r="D925" s="50" t="s">
        <v>33</v>
      </c>
      <c r="E925" s="51">
        <v>1</v>
      </c>
      <c r="F925" s="52">
        <v>9051335</v>
      </c>
      <c r="G925" s="53">
        <v>9051335</v>
      </c>
      <c r="H925" s="68">
        <f>G925</f>
        <v>9051335</v>
      </c>
      <c r="I925" s="179"/>
      <c r="J925" s="132"/>
      <c r="K925" s="158"/>
      <c r="L925" s="4"/>
      <c r="M925" s="4"/>
      <c r="N925" s="4"/>
      <c r="O925" s="158"/>
      <c r="P925" s="158"/>
    </row>
    <row r="926" spans="2:16">
      <c r="B926" s="66" t="s">
        <v>1019</v>
      </c>
      <c r="C926" s="67" t="s">
        <v>1020</v>
      </c>
      <c r="D926" s="50" t="s">
        <v>33</v>
      </c>
      <c r="E926" s="51">
        <v>1</v>
      </c>
      <c r="F926" s="52">
        <v>2784088</v>
      </c>
      <c r="G926" s="53">
        <v>2784088</v>
      </c>
      <c r="H926" s="68">
        <f>G926</f>
        <v>2784088</v>
      </c>
      <c r="I926" s="179"/>
      <c r="K926" s="158"/>
      <c r="L926" s="4"/>
      <c r="M926" s="4"/>
      <c r="N926" s="4"/>
      <c r="O926" s="158"/>
      <c r="P926" s="158"/>
    </row>
    <row r="927" spans="2:16" ht="15.75" thickBot="1">
      <c r="F927" s="199"/>
      <c r="G927" s="199"/>
      <c r="I927" s="25"/>
      <c r="L927" s="4"/>
      <c r="M927" s="4"/>
      <c r="N927" s="4"/>
    </row>
    <row r="928" spans="2:16" ht="15.75" thickBot="1">
      <c r="B928" s="200" t="s">
        <v>1021</v>
      </c>
      <c r="C928" s="201"/>
      <c r="D928" s="201"/>
      <c r="E928" s="201"/>
      <c r="F928" s="201"/>
      <c r="G928" s="201"/>
      <c r="H928" s="202"/>
      <c r="I928" s="25"/>
    </row>
    <row r="929" spans="2:10" ht="22.5">
      <c r="B929" s="203" t="s">
        <v>1022</v>
      </c>
      <c r="C929" s="204" t="s">
        <v>1023</v>
      </c>
      <c r="D929" s="205"/>
      <c r="E929" s="206" t="s">
        <v>1024</v>
      </c>
      <c r="F929" s="206" t="s">
        <v>1024</v>
      </c>
      <c r="G929" s="206" t="s">
        <v>1025</v>
      </c>
      <c r="H929" s="207" t="s">
        <v>1026</v>
      </c>
      <c r="J929" s="208"/>
    </row>
    <row r="930" spans="2:10" ht="15" customHeight="1">
      <c r="B930" s="209" t="s">
        <v>1027</v>
      </c>
      <c r="C930" s="210"/>
      <c r="D930" s="211"/>
      <c r="E930" s="212"/>
      <c r="F930" s="212"/>
      <c r="G930" s="212"/>
      <c r="H930" s="213"/>
      <c r="J930" s="132"/>
    </row>
    <row r="931" spans="2:10">
      <c r="B931" s="214">
        <v>1</v>
      </c>
      <c r="C931" s="215" t="s">
        <v>1028</v>
      </c>
      <c r="D931" s="216"/>
      <c r="E931" s="217" t="s">
        <v>1029</v>
      </c>
      <c r="F931" s="218">
        <v>1</v>
      </c>
      <c r="G931" s="219">
        <v>1749300</v>
      </c>
      <c r="H931" s="220">
        <f>F931*G931</f>
        <v>1749300</v>
      </c>
      <c r="J931" s="221"/>
    </row>
    <row r="932" spans="2:10">
      <c r="B932" s="214">
        <v>2</v>
      </c>
      <c r="C932" s="215" t="s">
        <v>1030</v>
      </c>
      <c r="D932" s="216"/>
      <c r="E932" s="222" t="s">
        <v>1029</v>
      </c>
      <c r="F932" s="218">
        <v>24</v>
      </c>
      <c r="G932" s="219">
        <v>466480</v>
      </c>
      <c r="H932" s="220">
        <f t="shared" ref="H932:H995" si="25">F932*G932</f>
        <v>11195520</v>
      </c>
      <c r="J932" s="132"/>
    </row>
    <row r="933" spans="2:10">
      <c r="B933" s="223">
        <v>3</v>
      </c>
      <c r="C933" s="224" t="s">
        <v>1031</v>
      </c>
      <c r="D933" s="216"/>
      <c r="E933" s="222" t="s">
        <v>1029</v>
      </c>
      <c r="F933" s="225">
        <v>1</v>
      </c>
      <c r="G933" s="226">
        <v>849660</v>
      </c>
      <c r="H933" s="220">
        <f t="shared" si="25"/>
        <v>849660</v>
      </c>
    </row>
    <row r="934" spans="2:10">
      <c r="B934" s="223">
        <v>4</v>
      </c>
      <c r="C934" s="215" t="s">
        <v>1032</v>
      </c>
      <c r="D934" s="216"/>
      <c r="E934" s="222" t="s">
        <v>1029</v>
      </c>
      <c r="F934" s="218">
        <v>1</v>
      </c>
      <c r="G934" s="219">
        <v>366520</v>
      </c>
      <c r="H934" s="220">
        <f t="shared" si="25"/>
        <v>366520</v>
      </c>
    </row>
    <row r="935" spans="2:10">
      <c r="B935" s="227" t="s">
        <v>1033</v>
      </c>
      <c r="C935" s="228"/>
      <c r="D935" s="229"/>
      <c r="E935" s="212"/>
      <c r="F935" s="212"/>
      <c r="G935" s="212"/>
      <c r="H935" s="213"/>
    </row>
    <row r="936" spans="2:10">
      <c r="B936" s="214">
        <v>5</v>
      </c>
      <c r="C936" s="224" t="s">
        <v>1034</v>
      </c>
      <c r="D936" s="216"/>
      <c r="E936" s="217" t="s">
        <v>1029</v>
      </c>
      <c r="F936" s="218">
        <v>8</v>
      </c>
      <c r="G936" s="219">
        <v>433160</v>
      </c>
      <c r="H936" s="220">
        <f t="shared" si="25"/>
        <v>3465280</v>
      </c>
    </row>
    <row r="937" spans="2:10">
      <c r="B937" s="214">
        <v>6</v>
      </c>
      <c r="C937" s="224" t="s">
        <v>1035</v>
      </c>
      <c r="D937" s="216"/>
      <c r="E937" s="217" t="s">
        <v>1029</v>
      </c>
      <c r="F937" s="218">
        <v>32</v>
      </c>
      <c r="G937" s="219">
        <v>220000</v>
      </c>
      <c r="H937" s="220">
        <f t="shared" si="25"/>
        <v>7040000</v>
      </c>
    </row>
    <row r="938" spans="2:10">
      <c r="B938" s="227" t="s">
        <v>1036</v>
      </c>
      <c r="C938" s="228"/>
      <c r="D938" s="229"/>
      <c r="E938" s="212"/>
      <c r="F938" s="212"/>
      <c r="G938" s="212"/>
      <c r="H938" s="213"/>
    </row>
    <row r="939" spans="2:10">
      <c r="B939" s="214">
        <v>7</v>
      </c>
      <c r="C939" s="224" t="s">
        <v>1037</v>
      </c>
      <c r="D939" s="216"/>
      <c r="E939" s="217" t="s">
        <v>1029</v>
      </c>
      <c r="F939" s="218">
        <v>18</v>
      </c>
      <c r="G939" s="219">
        <v>741370</v>
      </c>
      <c r="H939" s="220">
        <f t="shared" si="25"/>
        <v>13344660</v>
      </c>
    </row>
    <row r="940" spans="2:10">
      <c r="B940" s="214">
        <v>8</v>
      </c>
      <c r="C940" s="224" t="s">
        <v>1038</v>
      </c>
      <c r="D940" s="216"/>
      <c r="E940" s="217" t="s">
        <v>1029</v>
      </c>
      <c r="F940" s="218">
        <v>5</v>
      </c>
      <c r="G940" s="219">
        <v>2332400</v>
      </c>
      <c r="H940" s="220">
        <f t="shared" si="25"/>
        <v>11662000</v>
      </c>
    </row>
    <row r="941" spans="2:10">
      <c r="B941" s="214">
        <v>9</v>
      </c>
      <c r="C941" s="224" t="s">
        <v>1039</v>
      </c>
      <c r="D941" s="216"/>
      <c r="E941" s="222" t="s">
        <v>1029</v>
      </c>
      <c r="F941" s="225">
        <v>1</v>
      </c>
      <c r="G941" s="226">
        <v>849660</v>
      </c>
      <c r="H941" s="230">
        <f t="shared" si="25"/>
        <v>849660</v>
      </c>
    </row>
    <row r="942" spans="2:10">
      <c r="B942" s="223">
        <v>10</v>
      </c>
      <c r="C942" s="224" t="s">
        <v>1032</v>
      </c>
      <c r="D942" s="216"/>
      <c r="E942" s="222" t="s">
        <v>1029</v>
      </c>
      <c r="F942" s="218">
        <v>1</v>
      </c>
      <c r="G942" s="219">
        <v>366520</v>
      </c>
      <c r="H942" s="220">
        <f t="shared" si="25"/>
        <v>366520</v>
      </c>
    </row>
    <row r="943" spans="2:10">
      <c r="B943" s="214">
        <v>11</v>
      </c>
      <c r="C943" s="224" t="s">
        <v>1040</v>
      </c>
      <c r="D943" s="216"/>
      <c r="E943" s="222" t="s">
        <v>1029</v>
      </c>
      <c r="F943" s="225">
        <v>1</v>
      </c>
      <c r="G943" s="226">
        <v>12002697</v>
      </c>
      <c r="H943" s="230">
        <f t="shared" si="25"/>
        <v>12002697</v>
      </c>
    </row>
    <row r="944" spans="2:10">
      <c r="B944" s="223">
        <v>12</v>
      </c>
      <c r="C944" s="224" t="s">
        <v>1041</v>
      </c>
      <c r="D944" s="216"/>
      <c r="E944" s="222" t="s">
        <v>1029</v>
      </c>
      <c r="F944" s="225">
        <v>1</v>
      </c>
      <c r="G944" s="226">
        <v>10320037</v>
      </c>
      <c r="H944" s="230">
        <f t="shared" si="25"/>
        <v>10320037</v>
      </c>
    </row>
    <row r="945" spans="2:8">
      <c r="B945" s="223">
        <v>13</v>
      </c>
      <c r="C945" s="224" t="s">
        <v>1042</v>
      </c>
      <c r="D945" s="216"/>
      <c r="E945" s="222" t="s">
        <v>1029</v>
      </c>
      <c r="F945" s="218">
        <v>6</v>
      </c>
      <c r="G945" s="219">
        <v>8762264</v>
      </c>
      <c r="H945" s="220">
        <f t="shared" si="25"/>
        <v>52573584</v>
      </c>
    </row>
    <row r="946" spans="2:8">
      <c r="B946" s="214">
        <v>14</v>
      </c>
      <c r="C946" s="224" t="s">
        <v>1043</v>
      </c>
      <c r="D946" s="216"/>
      <c r="E946" s="217" t="s">
        <v>1029</v>
      </c>
      <c r="F946" s="218">
        <v>6</v>
      </c>
      <c r="G946" s="219">
        <v>19205355</v>
      </c>
      <c r="H946" s="220">
        <f t="shared" si="25"/>
        <v>115232130</v>
      </c>
    </row>
    <row r="947" spans="2:8">
      <c r="B947" s="214">
        <v>15</v>
      </c>
      <c r="C947" s="224" t="s">
        <v>1044</v>
      </c>
      <c r="D947" s="216"/>
      <c r="E947" s="217" t="s">
        <v>1029</v>
      </c>
      <c r="F947" s="218">
        <v>1</v>
      </c>
      <c r="G947" s="219">
        <v>3920000</v>
      </c>
      <c r="H947" s="220">
        <f t="shared" si="25"/>
        <v>3920000</v>
      </c>
    </row>
    <row r="948" spans="2:8">
      <c r="B948" s="227" t="s">
        <v>1045</v>
      </c>
      <c r="C948" s="228"/>
      <c r="D948" s="229"/>
      <c r="E948" s="212"/>
      <c r="F948" s="212"/>
      <c r="G948" s="212"/>
      <c r="H948" s="213"/>
    </row>
    <row r="949" spans="2:8">
      <c r="B949" s="223">
        <v>16</v>
      </c>
      <c r="C949" s="224" t="s">
        <v>1046</v>
      </c>
      <c r="D949" s="216"/>
      <c r="E949" s="222" t="s">
        <v>1029</v>
      </c>
      <c r="F949" s="218">
        <v>12</v>
      </c>
      <c r="G949" s="219">
        <v>408170</v>
      </c>
      <c r="H949" s="220">
        <f t="shared" si="25"/>
        <v>4898040</v>
      </c>
    </row>
    <row r="950" spans="2:8">
      <c r="B950" s="231">
        <v>17</v>
      </c>
      <c r="C950" s="224" t="s">
        <v>1047</v>
      </c>
      <c r="D950" s="216"/>
      <c r="E950" s="232" t="s">
        <v>1029</v>
      </c>
      <c r="F950" s="233">
        <v>1</v>
      </c>
      <c r="G950" s="234">
        <v>2665600</v>
      </c>
      <c r="H950" s="235">
        <f t="shared" si="25"/>
        <v>2665600</v>
      </c>
    </row>
    <row r="951" spans="2:8">
      <c r="B951" s="236">
        <v>18</v>
      </c>
      <c r="C951" s="224" t="s">
        <v>1048</v>
      </c>
      <c r="D951" s="216"/>
      <c r="E951" s="237" t="s">
        <v>1029</v>
      </c>
      <c r="F951" s="238">
        <v>10</v>
      </c>
      <c r="G951" s="239">
        <f>$G$1140</f>
        <v>210000</v>
      </c>
      <c r="H951" s="240">
        <f t="shared" si="25"/>
        <v>2100000</v>
      </c>
    </row>
    <row r="952" spans="2:8">
      <c r="B952" s="214">
        <v>19</v>
      </c>
      <c r="C952" s="224" t="s">
        <v>1039</v>
      </c>
      <c r="D952" s="216"/>
      <c r="E952" s="241" t="s">
        <v>1029</v>
      </c>
      <c r="F952" s="218">
        <v>2</v>
      </c>
      <c r="G952" s="226">
        <v>849660</v>
      </c>
      <c r="H952" s="230">
        <f t="shared" si="25"/>
        <v>1699320</v>
      </c>
    </row>
    <row r="953" spans="2:8">
      <c r="B953" s="223">
        <v>20</v>
      </c>
      <c r="C953" s="224" t="s">
        <v>1032</v>
      </c>
      <c r="D953" s="216"/>
      <c r="E953" s="241" t="s">
        <v>1029</v>
      </c>
      <c r="F953" s="218">
        <v>2</v>
      </c>
      <c r="G953" s="219">
        <v>366520</v>
      </c>
      <c r="H953" s="220">
        <f t="shared" si="25"/>
        <v>733040</v>
      </c>
    </row>
    <row r="954" spans="2:8">
      <c r="B954" s="214">
        <v>21</v>
      </c>
      <c r="C954" s="224" t="s">
        <v>1049</v>
      </c>
      <c r="D954" s="216"/>
      <c r="E954" s="242" t="s">
        <v>1029</v>
      </c>
      <c r="F954" s="218">
        <v>1</v>
      </c>
      <c r="G954" s="219">
        <v>3165400</v>
      </c>
      <c r="H954" s="220">
        <f t="shared" si="25"/>
        <v>3165400</v>
      </c>
    </row>
    <row r="955" spans="2:8">
      <c r="B955" s="223">
        <v>22</v>
      </c>
      <c r="C955" s="224" t="s">
        <v>1050</v>
      </c>
      <c r="D955" s="216"/>
      <c r="E955" s="241" t="s">
        <v>1029</v>
      </c>
      <c r="F955" s="225">
        <v>1</v>
      </c>
      <c r="G955" s="226">
        <v>1157870</v>
      </c>
      <c r="H955" s="230">
        <f t="shared" si="25"/>
        <v>1157870</v>
      </c>
    </row>
    <row r="956" spans="2:8">
      <c r="B956" s="223">
        <v>23</v>
      </c>
      <c r="C956" s="224" t="s">
        <v>1051</v>
      </c>
      <c r="D956" s="216"/>
      <c r="E956" s="241" t="s">
        <v>1029</v>
      </c>
      <c r="F956" s="225">
        <v>1</v>
      </c>
      <c r="G956" s="226">
        <v>26850755</v>
      </c>
      <c r="H956" s="230">
        <f t="shared" si="25"/>
        <v>26850755</v>
      </c>
    </row>
    <row r="957" spans="2:8">
      <c r="B957" s="223">
        <v>24</v>
      </c>
      <c r="C957" s="224" t="s">
        <v>1052</v>
      </c>
      <c r="D957" s="216"/>
      <c r="E957" s="241" t="s">
        <v>1029</v>
      </c>
      <c r="F957" s="225">
        <v>1</v>
      </c>
      <c r="G957" s="226">
        <v>17702916</v>
      </c>
      <c r="H957" s="230">
        <f t="shared" si="25"/>
        <v>17702916</v>
      </c>
    </row>
    <row r="958" spans="2:8">
      <c r="B958" s="223">
        <v>25</v>
      </c>
      <c r="C958" s="224" t="s">
        <v>1053</v>
      </c>
      <c r="D958" s="216"/>
      <c r="E958" s="241" t="s">
        <v>1029</v>
      </c>
      <c r="F958" s="225">
        <v>1</v>
      </c>
      <c r="G958" s="226">
        <v>21531884</v>
      </c>
      <c r="H958" s="230">
        <f t="shared" si="25"/>
        <v>21531884</v>
      </c>
    </row>
    <row r="959" spans="2:8">
      <c r="B959" s="223">
        <v>26</v>
      </c>
      <c r="C959" s="224" t="s">
        <v>1054</v>
      </c>
      <c r="D959" s="216"/>
      <c r="E959" s="241" t="s">
        <v>1029</v>
      </c>
      <c r="F959" s="225">
        <v>1</v>
      </c>
      <c r="G959" s="226">
        <v>23605221</v>
      </c>
      <c r="H959" s="230">
        <f t="shared" si="25"/>
        <v>23605221</v>
      </c>
    </row>
    <row r="960" spans="2:8">
      <c r="B960" s="223">
        <v>27</v>
      </c>
      <c r="C960" s="224" t="s">
        <v>1055</v>
      </c>
      <c r="D960" s="216"/>
      <c r="E960" s="241" t="s">
        <v>1029</v>
      </c>
      <c r="F960" s="225">
        <v>1</v>
      </c>
      <c r="G960" s="226">
        <v>31578197</v>
      </c>
      <c r="H960" s="230">
        <f t="shared" si="25"/>
        <v>31578197</v>
      </c>
    </row>
    <row r="961" spans="2:8">
      <c r="B961" s="223">
        <v>28</v>
      </c>
      <c r="C961" s="224" t="s">
        <v>1056</v>
      </c>
      <c r="D961" s="216"/>
      <c r="E961" s="241" t="s">
        <v>1029</v>
      </c>
      <c r="F961" s="225">
        <v>1</v>
      </c>
      <c r="G961" s="226">
        <v>22121981</v>
      </c>
      <c r="H961" s="230">
        <f t="shared" si="25"/>
        <v>22121981</v>
      </c>
    </row>
    <row r="962" spans="2:8">
      <c r="B962" s="223">
        <v>29</v>
      </c>
      <c r="C962" s="224" t="s">
        <v>1057</v>
      </c>
      <c r="D962" s="216"/>
      <c r="E962" s="241" t="s">
        <v>1029</v>
      </c>
      <c r="F962" s="225">
        <v>1</v>
      </c>
      <c r="G962" s="226">
        <v>15630912</v>
      </c>
      <c r="H962" s="230">
        <f t="shared" si="25"/>
        <v>15630912</v>
      </c>
    </row>
    <row r="963" spans="2:8">
      <c r="B963" s="231">
        <v>30</v>
      </c>
      <c r="C963" s="224" t="s">
        <v>1058</v>
      </c>
      <c r="D963" s="216"/>
      <c r="E963" s="243" t="s">
        <v>1029</v>
      </c>
      <c r="F963" s="244">
        <v>1</v>
      </c>
      <c r="G963" s="234">
        <v>559776</v>
      </c>
      <c r="H963" s="235">
        <f t="shared" si="25"/>
        <v>559776</v>
      </c>
    </row>
    <row r="964" spans="2:8">
      <c r="B964" s="245">
        <v>31</v>
      </c>
      <c r="C964" s="224" t="s">
        <v>1059</v>
      </c>
      <c r="D964" s="216"/>
      <c r="E964" s="237" t="s">
        <v>1029</v>
      </c>
      <c r="F964" s="246">
        <v>1</v>
      </c>
      <c r="G964" s="247">
        <v>3920000</v>
      </c>
      <c r="H964" s="248">
        <f t="shared" si="25"/>
        <v>3920000</v>
      </c>
    </row>
    <row r="965" spans="2:8">
      <c r="B965" s="227" t="s">
        <v>1060</v>
      </c>
      <c r="C965" s="228"/>
      <c r="D965" s="229"/>
      <c r="E965" s="212"/>
      <c r="F965" s="212"/>
      <c r="G965" s="212"/>
      <c r="H965" s="213"/>
    </row>
    <row r="966" spans="2:8">
      <c r="B966" s="223">
        <v>32</v>
      </c>
      <c r="C966" s="224" t="s">
        <v>1049</v>
      </c>
      <c r="D966" s="216"/>
      <c r="E966" s="241" t="s">
        <v>1029</v>
      </c>
      <c r="F966" s="218">
        <v>1</v>
      </c>
      <c r="G966" s="219">
        <v>3165400</v>
      </c>
      <c r="H966" s="220">
        <f t="shared" si="25"/>
        <v>3165400</v>
      </c>
    </row>
    <row r="967" spans="2:8">
      <c r="B967" s="214">
        <v>33</v>
      </c>
      <c r="C967" s="224" t="s">
        <v>1050</v>
      </c>
      <c r="D967" s="216"/>
      <c r="E967" s="241" t="s">
        <v>1029</v>
      </c>
      <c r="F967" s="225">
        <v>1</v>
      </c>
      <c r="G967" s="226">
        <v>1157870</v>
      </c>
      <c r="H967" s="230">
        <f t="shared" si="25"/>
        <v>1157870</v>
      </c>
    </row>
    <row r="968" spans="2:8">
      <c r="B968" s="249">
        <v>34</v>
      </c>
      <c r="C968" s="224" t="s">
        <v>1046</v>
      </c>
      <c r="D968" s="216"/>
      <c r="E968" s="241" t="s">
        <v>1029</v>
      </c>
      <c r="F968" s="218">
        <v>30</v>
      </c>
      <c r="G968" s="219">
        <v>408170</v>
      </c>
      <c r="H968" s="220">
        <f t="shared" si="25"/>
        <v>12245100</v>
      </c>
    </row>
    <row r="969" spans="2:8">
      <c r="B969" s="223">
        <v>35</v>
      </c>
      <c r="C969" s="224" t="s">
        <v>1039</v>
      </c>
      <c r="D969" s="216"/>
      <c r="E969" s="241" t="s">
        <v>1029</v>
      </c>
      <c r="F969" s="225">
        <v>2</v>
      </c>
      <c r="G969" s="226">
        <v>849660</v>
      </c>
      <c r="H969" s="230">
        <f t="shared" si="25"/>
        <v>1699320</v>
      </c>
    </row>
    <row r="970" spans="2:8">
      <c r="B970" s="249">
        <v>36</v>
      </c>
      <c r="C970" s="224" t="s">
        <v>1032</v>
      </c>
      <c r="D970" s="216"/>
      <c r="E970" s="241" t="s">
        <v>1029</v>
      </c>
      <c r="F970" s="218">
        <v>2</v>
      </c>
      <c r="G970" s="219">
        <v>366520</v>
      </c>
      <c r="H970" s="220">
        <f t="shared" si="25"/>
        <v>733040</v>
      </c>
    </row>
    <row r="971" spans="2:8">
      <c r="B971" s="223">
        <v>37</v>
      </c>
      <c r="C971" s="224" t="s">
        <v>1061</v>
      </c>
      <c r="D971" s="216"/>
      <c r="E971" s="241" t="s">
        <v>1029</v>
      </c>
      <c r="F971" s="225">
        <v>3</v>
      </c>
      <c r="G971" s="226">
        <v>58063092.088235229</v>
      </c>
      <c r="H971" s="230">
        <f t="shared" si="25"/>
        <v>174189276.26470569</v>
      </c>
    </row>
    <row r="972" spans="2:8">
      <c r="B972" s="249">
        <v>38</v>
      </c>
      <c r="C972" s="224" t="s">
        <v>1062</v>
      </c>
      <c r="D972" s="216"/>
      <c r="E972" s="241" t="s">
        <v>1029</v>
      </c>
      <c r="F972" s="225">
        <v>1</v>
      </c>
      <c r="G972" s="226">
        <v>33038946</v>
      </c>
      <c r="H972" s="230">
        <f t="shared" si="25"/>
        <v>33038946</v>
      </c>
    </row>
    <row r="973" spans="2:8">
      <c r="B973" s="223">
        <v>39</v>
      </c>
      <c r="C973" s="224" t="s">
        <v>1063</v>
      </c>
      <c r="D973" s="216"/>
      <c r="E973" s="241" t="s">
        <v>1029</v>
      </c>
      <c r="F973" s="225">
        <v>1</v>
      </c>
      <c r="G973" s="226">
        <v>7376215</v>
      </c>
      <c r="H973" s="230">
        <f t="shared" si="25"/>
        <v>7376215</v>
      </c>
    </row>
    <row r="974" spans="2:8">
      <c r="B974" s="249">
        <v>40</v>
      </c>
      <c r="C974" s="224" t="s">
        <v>1064</v>
      </c>
      <c r="D974" s="216"/>
      <c r="E974" s="241" t="s">
        <v>1029</v>
      </c>
      <c r="F974" s="225">
        <v>1</v>
      </c>
      <c r="G974" s="226">
        <v>15890308</v>
      </c>
      <c r="H974" s="230">
        <f t="shared" si="25"/>
        <v>15890308</v>
      </c>
    </row>
    <row r="975" spans="2:8">
      <c r="B975" s="223">
        <v>41</v>
      </c>
      <c r="C975" s="224" t="s">
        <v>1065</v>
      </c>
      <c r="D975" s="216"/>
      <c r="E975" s="241" t="s">
        <v>1029</v>
      </c>
      <c r="F975" s="225">
        <v>1</v>
      </c>
      <c r="G975" s="226">
        <v>9729940</v>
      </c>
      <c r="H975" s="230">
        <f t="shared" si="25"/>
        <v>9729940</v>
      </c>
    </row>
    <row r="976" spans="2:8">
      <c r="B976" s="223">
        <v>42</v>
      </c>
      <c r="C976" s="224" t="s">
        <v>1058</v>
      </c>
      <c r="D976" s="216"/>
      <c r="E976" s="242" t="s">
        <v>1029</v>
      </c>
      <c r="F976" s="225">
        <v>1</v>
      </c>
      <c r="G976" s="219">
        <v>559776</v>
      </c>
      <c r="H976" s="220">
        <f t="shared" si="25"/>
        <v>559776</v>
      </c>
    </row>
    <row r="977" spans="2:8">
      <c r="B977" s="214">
        <v>43</v>
      </c>
      <c r="C977" s="224" t="s">
        <v>1059</v>
      </c>
      <c r="D977" s="216"/>
      <c r="E977" s="241" t="s">
        <v>1029</v>
      </c>
      <c r="F977" s="218">
        <v>1</v>
      </c>
      <c r="G977" s="219">
        <v>3920000</v>
      </c>
      <c r="H977" s="220">
        <f t="shared" si="25"/>
        <v>3920000</v>
      </c>
    </row>
    <row r="978" spans="2:8">
      <c r="B978" s="227" t="s">
        <v>1066</v>
      </c>
      <c r="C978" s="228"/>
      <c r="D978" s="229"/>
      <c r="E978" s="212"/>
      <c r="F978" s="212"/>
      <c r="G978" s="212"/>
      <c r="H978" s="213"/>
    </row>
    <row r="979" spans="2:8">
      <c r="B979" s="214">
        <v>43</v>
      </c>
      <c r="C979" s="224" t="s">
        <v>1049</v>
      </c>
      <c r="D979" s="216"/>
      <c r="E979" s="242" t="s">
        <v>1029</v>
      </c>
      <c r="F979" s="218">
        <v>1</v>
      </c>
      <c r="G979" s="219">
        <v>3165400</v>
      </c>
      <c r="H979" s="220">
        <f t="shared" si="25"/>
        <v>3165400</v>
      </c>
    </row>
    <row r="980" spans="2:8">
      <c r="B980" s="250">
        <v>44</v>
      </c>
      <c r="C980" s="224" t="s">
        <v>1050</v>
      </c>
      <c r="D980" s="216"/>
      <c r="E980" s="251" t="s">
        <v>1029</v>
      </c>
      <c r="F980" s="244">
        <v>1</v>
      </c>
      <c r="G980" s="252">
        <v>1157870</v>
      </c>
      <c r="H980" s="253">
        <f t="shared" si="25"/>
        <v>1157870</v>
      </c>
    </row>
    <row r="981" spans="2:8">
      <c r="B981" s="254">
        <v>45</v>
      </c>
      <c r="C981" s="224" t="s">
        <v>1046</v>
      </c>
      <c r="D981" s="216"/>
      <c r="E981" s="255" t="s">
        <v>1029</v>
      </c>
      <c r="F981" s="246">
        <v>8</v>
      </c>
      <c r="G981" s="247">
        <v>408170</v>
      </c>
      <c r="H981" s="248">
        <f t="shared" si="25"/>
        <v>3265360</v>
      </c>
    </row>
    <row r="982" spans="2:8">
      <c r="B982" s="223">
        <v>46</v>
      </c>
      <c r="C982" s="224" t="s">
        <v>1039</v>
      </c>
      <c r="D982" s="216"/>
      <c r="E982" s="241" t="s">
        <v>1029</v>
      </c>
      <c r="F982" s="225">
        <v>2</v>
      </c>
      <c r="G982" s="226">
        <v>849660</v>
      </c>
      <c r="H982" s="230">
        <f t="shared" si="25"/>
        <v>1699320</v>
      </c>
    </row>
    <row r="983" spans="2:8">
      <c r="B983" s="249">
        <v>47</v>
      </c>
      <c r="C983" s="224" t="s">
        <v>1032</v>
      </c>
      <c r="D983" s="216"/>
      <c r="E983" s="242" t="s">
        <v>1029</v>
      </c>
      <c r="F983" s="225">
        <v>2</v>
      </c>
      <c r="G983" s="226">
        <v>366520</v>
      </c>
      <c r="H983" s="230">
        <f t="shared" si="25"/>
        <v>733040</v>
      </c>
    </row>
    <row r="984" spans="2:8">
      <c r="B984" s="249">
        <v>48</v>
      </c>
      <c r="C984" s="224" t="s">
        <v>1067</v>
      </c>
      <c r="D984" s="216"/>
      <c r="E984" s="241" t="s">
        <v>1029</v>
      </c>
      <c r="F984" s="225">
        <v>2</v>
      </c>
      <c r="G984" s="226">
        <v>77598282</v>
      </c>
      <c r="H984" s="230">
        <f t="shared" si="25"/>
        <v>155196564</v>
      </c>
    </row>
    <row r="985" spans="2:8">
      <c r="B985" s="249">
        <v>49</v>
      </c>
      <c r="C985" s="224" t="s">
        <v>1068</v>
      </c>
      <c r="D985" s="216"/>
      <c r="E985" s="241" t="s">
        <v>1029</v>
      </c>
      <c r="F985" s="225">
        <v>1</v>
      </c>
      <c r="G985" s="226">
        <v>17688422</v>
      </c>
      <c r="H985" s="230">
        <f t="shared" si="25"/>
        <v>17688422</v>
      </c>
    </row>
    <row r="986" spans="2:8">
      <c r="B986" s="249">
        <v>50</v>
      </c>
      <c r="C986" s="224" t="s">
        <v>1069</v>
      </c>
      <c r="D986" s="216"/>
      <c r="E986" s="241" t="s">
        <v>1029</v>
      </c>
      <c r="F986" s="225">
        <v>1</v>
      </c>
      <c r="G986" s="226">
        <v>21833596</v>
      </c>
      <c r="H986" s="230">
        <f t="shared" si="25"/>
        <v>21833596</v>
      </c>
    </row>
    <row r="987" spans="2:8">
      <c r="B987" s="223">
        <v>51</v>
      </c>
      <c r="C987" s="224" t="s">
        <v>1058</v>
      </c>
      <c r="D987" s="216"/>
      <c r="E987" s="242" t="s">
        <v>1029</v>
      </c>
      <c r="F987" s="225">
        <v>1</v>
      </c>
      <c r="G987" s="219">
        <v>559776</v>
      </c>
      <c r="H987" s="220">
        <f t="shared" si="25"/>
        <v>559776</v>
      </c>
    </row>
    <row r="988" spans="2:8">
      <c r="B988" s="223">
        <v>52</v>
      </c>
      <c r="C988" s="224" t="s">
        <v>1059</v>
      </c>
      <c r="D988" s="216"/>
      <c r="E988" s="241" t="s">
        <v>1029</v>
      </c>
      <c r="F988" s="218">
        <v>1</v>
      </c>
      <c r="G988" s="219">
        <v>3920000</v>
      </c>
      <c r="H988" s="220">
        <f t="shared" si="25"/>
        <v>3920000</v>
      </c>
    </row>
    <row r="989" spans="2:8">
      <c r="B989" s="227" t="s">
        <v>1070</v>
      </c>
      <c r="C989" s="228"/>
      <c r="D989" s="229"/>
      <c r="E989" s="212"/>
      <c r="F989" s="212"/>
      <c r="G989" s="212"/>
      <c r="H989" s="213"/>
    </row>
    <row r="990" spans="2:8">
      <c r="B990" s="214">
        <v>53</v>
      </c>
      <c r="C990" s="224" t="s">
        <v>1049</v>
      </c>
      <c r="D990" s="216"/>
      <c r="E990" s="242" t="s">
        <v>1029</v>
      </c>
      <c r="F990" s="218">
        <v>1</v>
      </c>
      <c r="G990" s="219">
        <v>3165400</v>
      </c>
      <c r="H990" s="220">
        <f t="shared" si="25"/>
        <v>3165400</v>
      </c>
    </row>
    <row r="991" spans="2:8">
      <c r="B991" s="214">
        <v>54</v>
      </c>
      <c r="C991" s="224" t="s">
        <v>1050</v>
      </c>
      <c r="D991" s="216"/>
      <c r="E991" s="241" t="s">
        <v>1029</v>
      </c>
      <c r="F991" s="225">
        <v>1</v>
      </c>
      <c r="G991" s="226">
        <v>1157870</v>
      </c>
      <c r="H991" s="230">
        <f t="shared" si="25"/>
        <v>1157870</v>
      </c>
    </row>
    <row r="992" spans="2:8">
      <c r="B992" s="223">
        <v>55</v>
      </c>
      <c r="C992" s="224" t="s">
        <v>1048</v>
      </c>
      <c r="D992" s="216"/>
      <c r="E992" s="241" t="s">
        <v>1029</v>
      </c>
      <c r="F992" s="225">
        <v>30</v>
      </c>
      <c r="G992" s="226">
        <f>$G$1140</f>
        <v>210000</v>
      </c>
      <c r="H992" s="230">
        <f t="shared" si="25"/>
        <v>6300000</v>
      </c>
    </row>
    <row r="993" spans="2:8">
      <c r="B993" s="223">
        <v>56</v>
      </c>
      <c r="C993" s="224" t="s">
        <v>1071</v>
      </c>
      <c r="D993" s="216"/>
      <c r="E993" s="241" t="s">
        <v>1029</v>
      </c>
      <c r="F993" s="225">
        <v>6</v>
      </c>
      <c r="G993" s="226">
        <v>2998800</v>
      </c>
      <c r="H993" s="230">
        <f t="shared" si="25"/>
        <v>17992800</v>
      </c>
    </row>
    <row r="994" spans="2:8">
      <c r="B994" s="214">
        <v>57</v>
      </c>
      <c r="C994" s="224" t="s">
        <v>1030</v>
      </c>
      <c r="D994" s="216"/>
      <c r="E994" s="241" t="s">
        <v>1029</v>
      </c>
      <c r="F994" s="218">
        <v>14</v>
      </c>
      <c r="G994" s="219">
        <v>466480</v>
      </c>
      <c r="H994" s="220">
        <f t="shared" si="25"/>
        <v>6530720</v>
      </c>
    </row>
    <row r="995" spans="2:8">
      <c r="B995" s="223">
        <v>58</v>
      </c>
      <c r="C995" s="224" t="s">
        <v>1039</v>
      </c>
      <c r="D995" s="216"/>
      <c r="E995" s="241" t="s">
        <v>1029</v>
      </c>
      <c r="F995" s="225">
        <v>2</v>
      </c>
      <c r="G995" s="226">
        <v>849660</v>
      </c>
      <c r="H995" s="230">
        <f t="shared" si="25"/>
        <v>1699320</v>
      </c>
    </row>
    <row r="996" spans="2:8">
      <c r="B996" s="231">
        <v>59</v>
      </c>
      <c r="C996" s="224" t="s">
        <v>1032</v>
      </c>
      <c r="D996" s="216"/>
      <c r="E996" s="251" t="s">
        <v>1029</v>
      </c>
      <c r="F996" s="233">
        <v>2</v>
      </c>
      <c r="G996" s="234">
        <v>366520</v>
      </c>
      <c r="H996" s="235">
        <f t="shared" ref="H996:H997" si="26">F996*G996</f>
        <v>733040</v>
      </c>
    </row>
    <row r="997" spans="2:8">
      <c r="B997" s="245">
        <v>60</v>
      </c>
      <c r="C997" s="224" t="s">
        <v>1058</v>
      </c>
      <c r="D997" s="216"/>
      <c r="E997" s="255" t="s">
        <v>1029</v>
      </c>
      <c r="F997" s="238">
        <v>1</v>
      </c>
      <c r="G997" s="247">
        <v>559776</v>
      </c>
      <c r="H997" s="248">
        <f t="shared" si="26"/>
        <v>559776</v>
      </c>
    </row>
    <row r="998" spans="2:8">
      <c r="B998" s="227" t="s">
        <v>1072</v>
      </c>
      <c r="C998" s="228"/>
      <c r="D998" s="229"/>
      <c r="E998" s="212"/>
      <c r="F998" s="212"/>
      <c r="G998" s="212"/>
      <c r="H998" s="213"/>
    </row>
    <row r="999" spans="2:8">
      <c r="B999" s="214">
        <v>61</v>
      </c>
      <c r="C999" s="224" t="s">
        <v>1049</v>
      </c>
      <c r="D999" s="216"/>
      <c r="E999" s="242" t="s">
        <v>1029</v>
      </c>
      <c r="F999" s="218">
        <v>1</v>
      </c>
      <c r="G999" s="219">
        <v>3165400</v>
      </c>
      <c r="H999" s="220">
        <f t="shared" ref="H999:H1006" si="27">F999*G999</f>
        <v>3165400</v>
      </c>
    </row>
    <row r="1000" spans="2:8">
      <c r="B1000" s="223">
        <v>62</v>
      </c>
      <c r="C1000" s="224" t="s">
        <v>1050</v>
      </c>
      <c r="D1000" s="216"/>
      <c r="E1000" s="241" t="s">
        <v>1029</v>
      </c>
      <c r="F1000" s="225">
        <v>1</v>
      </c>
      <c r="G1000" s="226">
        <v>1157870</v>
      </c>
      <c r="H1000" s="230">
        <f t="shared" si="27"/>
        <v>1157870</v>
      </c>
    </row>
    <row r="1001" spans="2:8">
      <c r="B1001" s="214">
        <v>63</v>
      </c>
      <c r="C1001" s="224" t="s">
        <v>1073</v>
      </c>
      <c r="D1001" s="216"/>
      <c r="E1001" s="241" t="s">
        <v>1029</v>
      </c>
      <c r="F1001" s="218">
        <v>21</v>
      </c>
      <c r="G1001" s="219">
        <v>1749300</v>
      </c>
      <c r="H1001" s="220">
        <f t="shared" si="27"/>
        <v>36735300</v>
      </c>
    </row>
    <row r="1002" spans="2:8">
      <c r="B1002" s="214">
        <v>64</v>
      </c>
      <c r="C1002" s="224" t="s">
        <v>1074</v>
      </c>
      <c r="D1002" s="216"/>
      <c r="E1002" s="242" t="s">
        <v>1029</v>
      </c>
      <c r="F1002" s="218">
        <v>30</v>
      </c>
      <c r="G1002" s="219">
        <f>$G$1076</f>
        <v>476012.74442806299</v>
      </c>
      <c r="H1002" s="220">
        <f t="shared" si="27"/>
        <v>14280382.33284189</v>
      </c>
    </row>
    <row r="1003" spans="2:8">
      <c r="B1003" s="223">
        <v>65</v>
      </c>
      <c r="C1003" s="224" t="s">
        <v>1075</v>
      </c>
      <c r="D1003" s="216"/>
      <c r="E1003" s="241" t="s">
        <v>1029</v>
      </c>
      <c r="F1003" s="225">
        <v>6</v>
      </c>
      <c r="G1003" s="226">
        <v>2998800</v>
      </c>
      <c r="H1003" s="230">
        <f t="shared" si="27"/>
        <v>17992800</v>
      </c>
    </row>
    <row r="1004" spans="2:8">
      <c r="B1004" s="223">
        <v>66</v>
      </c>
      <c r="C1004" s="224" t="s">
        <v>1039</v>
      </c>
      <c r="D1004" s="216"/>
      <c r="E1004" s="241" t="s">
        <v>1029</v>
      </c>
      <c r="F1004" s="225">
        <v>2</v>
      </c>
      <c r="G1004" s="226">
        <v>849660</v>
      </c>
      <c r="H1004" s="230">
        <f t="shared" si="27"/>
        <v>1699320</v>
      </c>
    </row>
    <row r="1005" spans="2:8">
      <c r="B1005" s="214">
        <v>67</v>
      </c>
      <c r="C1005" s="224" t="s">
        <v>1032</v>
      </c>
      <c r="D1005" s="216"/>
      <c r="E1005" s="241" t="s">
        <v>1029</v>
      </c>
      <c r="F1005" s="225">
        <v>2</v>
      </c>
      <c r="G1005" s="226">
        <v>366520</v>
      </c>
      <c r="H1005" s="230">
        <f t="shared" si="27"/>
        <v>733040</v>
      </c>
    </row>
    <row r="1006" spans="2:8">
      <c r="B1006" s="214">
        <v>68</v>
      </c>
      <c r="C1006" s="224" t="s">
        <v>1058</v>
      </c>
      <c r="D1006" s="216"/>
      <c r="E1006" s="241" t="s">
        <v>1029</v>
      </c>
      <c r="F1006" s="225">
        <v>1</v>
      </c>
      <c r="G1006" s="219">
        <v>559776</v>
      </c>
      <c r="H1006" s="220">
        <f t="shared" si="27"/>
        <v>559776</v>
      </c>
    </row>
    <row r="1007" spans="2:8">
      <c r="B1007" s="227" t="s">
        <v>1076</v>
      </c>
      <c r="C1007" s="228"/>
      <c r="D1007" s="229"/>
      <c r="E1007" s="212"/>
      <c r="F1007" s="212"/>
      <c r="G1007" s="212"/>
      <c r="H1007" s="213"/>
    </row>
    <row r="1008" spans="2:8">
      <c r="B1008" s="214">
        <v>68</v>
      </c>
      <c r="C1008" s="224" t="s">
        <v>1077</v>
      </c>
      <c r="D1008" s="216"/>
      <c r="E1008" s="241" t="s">
        <v>1029</v>
      </c>
      <c r="F1008" s="225">
        <v>18</v>
      </c>
      <c r="G1008" s="226">
        <v>466480</v>
      </c>
      <c r="H1008" s="230">
        <f t="shared" ref="H1008:H1018" si="28">F1008*G1008</f>
        <v>8396640</v>
      </c>
    </row>
    <row r="1009" spans="2:8">
      <c r="B1009" s="214">
        <v>69</v>
      </c>
      <c r="C1009" s="224" t="s">
        <v>1078</v>
      </c>
      <c r="D1009" s="216"/>
      <c r="E1009" s="241" t="s">
        <v>1029</v>
      </c>
      <c r="F1009" s="218">
        <v>5</v>
      </c>
      <c r="G1009" s="219">
        <v>2332400</v>
      </c>
      <c r="H1009" s="220">
        <f t="shared" si="28"/>
        <v>11662000</v>
      </c>
    </row>
    <row r="1010" spans="2:8">
      <c r="B1010" s="223">
        <v>70</v>
      </c>
      <c r="C1010" s="224" t="s">
        <v>1079</v>
      </c>
      <c r="D1010" s="216"/>
      <c r="E1010" s="241" t="s">
        <v>1029</v>
      </c>
      <c r="F1010" s="225">
        <v>1</v>
      </c>
      <c r="G1010" s="226">
        <v>849660</v>
      </c>
      <c r="H1010" s="230">
        <f t="shared" si="28"/>
        <v>849660</v>
      </c>
    </row>
    <row r="1011" spans="2:8">
      <c r="B1011" s="214">
        <v>71</v>
      </c>
      <c r="C1011" s="224" t="s">
        <v>1032</v>
      </c>
      <c r="D1011" s="216"/>
      <c r="E1011" s="241" t="s">
        <v>1029</v>
      </c>
      <c r="F1011" s="218">
        <v>1</v>
      </c>
      <c r="G1011" s="219">
        <v>366520</v>
      </c>
      <c r="H1011" s="220">
        <f t="shared" si="28"/>
        <v>366520</v>
      </c>
    </row>
    <row r="1012" spans="2:8">
      <c r="B1012" s="214">
        <v>72</v>
      </c>
      <c r="C1012" s="224" t="s">
        <v>1030</v>
      </c>
      <c r="D1012" s="216"/>
      <c r="E1012" s="242" t="s">
        <v>1029</v>
      </c>
      <c r="F1012" s="218">
        <v>6</v>
      </c>
      <c r="G1012" s="219">
        <v>466480</v>
      </c>
      <c r="H1012" s="220">
        <f t="shared" si="28"/>
        <v>2798880</v>
      </c>
    </row>
    <row r="1013" spans="2:8">
      <c r="B1013" s="223">
        <v>73</v>
      </c>
      <c r="C1013" s="224" t="s">
        <v>1080</v>
      </c>
      <c r="D1013" s="216"/>
      <c r="E1013" s="242" t="s">
        <v>1029</v>
      </c>
      <c r="F1013" s="225">
        <v>1</v>
      </c>
      <c r="G1013" s="226">
        <v>12002697</v>
      </c>
      <c r="H1013" s="230">
        <f t="shared" si="28"/>
        <v>12002697</v>
      </c>
    </row>
    <row r="1014" spans="2:8">
      <c r="B1014" s="223">
        <v>74</v>
      </c>
      <c r="C1014" s="224" t="s">
        <v>1081</v>
      </c>
      <c r="D1014" s="216"/>
      <c r="E1014" s="241" t="s">
        <v>1029</v>
      </c>
      <c r="F1014" s="225">
        <v>1</v>
      </c>
      <c r="G1014" s="226">
        <v>10990685</v>
      </c>
      <c r="H1014" s="230">
        <f t="shared" si="28"/>
        <v>10990685</v>
      </c>
    </row>
    <row r="1015" spans="2:8">
      <c r="B1015" s="214">
        <v>75</v>
      </c>
      <c r="C1015" s="224" t="s">
        <v>1042</v>
      </c>
      <c r="D1015" s="216"/>
      <c r="E1015" s="241" t="s">
        <v>1029</v>
      </c>
      <c r="F1015" s="225">
        <v>6</v>
      </c>
      <c r="G1015" s="226">
        <v>8762264</v>
      </c>
      <c r="H1015" s="230">
        <f t="shared" si="28"/>
        <v>52573584</v>
      </c>
    </row>
    <row r="1016" spans="2:8">
      <c r="B1016" s="214">
        <v>76</v>
      </c>
      <c r="C1016" s="224" t="s">
        <v>1082</v>
      </c>
      <c r="D1016" s="216"/>
      <c r="E1016" s="242" t="s">
        <v>1029</v>
      </c>
      <c r="F1016" s="218">
        <v>6</v>
      </c>
      <c r="G1016" s="219">
        <v>19205355</v>
      </c>
      <c r="H1016" s="220">
        <f t="shared" si="28"/>
        <v>115232130</v>
      </c>
    </row>
    <row r="1017" spans="2:8">
      <c r="B1017" s="223">
        <v>77</v>
      </c>
      <c r="C1017" s="224" t="s">
        <v>1050</v>
      </c>
      <c r="D1017" s="216"/>
      <c r="E1017" s="241" t="s">
        <v>1029</v>
      </c>
      <c r="F1017" s="225">
        <v>1</v>
      </c>
      <c r="G1017" s="226">
        <v>1157870</v>
      </c>
      <c r="H1017" s="230">
        <f t="shared" si="28"/>
        <v>1157870</v>
      </c>
    </row>
    <row r="1018" spans="2:8">
      <c r="B1018" s="214">
        <v>78</v>
      </c>
      <c r="C1018" s="224" t="s">
        <v>1059</v>
      </c>
      <c r="D1018" s="216"/>
      <c r="E1018" s="242" t="s">
        <v>1029</v>
      </c>
      <c r="F1018" s="218">
        <v>1</v>
      </c>
      <c r="G1018" s="219">
        <v>3920000</v>
      </c>
      <c r="H1018" s="220">
        <f t="shared" si="28"/>
        <v>3920000</v>
      </c>
    </row>
    <row r="1019" spans="2:8">
      <c r="B1019" s="227" t="s">
        <v>1083</v>
      </c>
      <c r="C1019" s="228"/>
      <c r="D1019" s="229"/>
      <c r="E1019" s="212"/>
      <c r="F1019" s="212"/>
      <c r="G1019" s="212"/>
      <c r="H1019" s="213"/>
    </row>
    <row r="1020" spans="2:8">
      <c r="B1020" s="245">
        <v>79</v>
      </c>
      <c r="C1020" s="224" t="s">
        <v>1049</v>
      </c>
      <c r="D1020" s="216"/>
      <c r="E1020" s="255" t="s">
        <v>1029</v>
      </c>
      <c r="F1020" s="246">
        <v>1</v>
      </c>
      <c r="G1020" s="247">
        <v>3165400</v>
      </c>
      <c r="H1020" s="248">
        <f t="shared" ref="H1020:H1029" si="29">F1020*G1020</f>
        <v>3165400</v>
      </c>
    </row>
    <row r="1021" spans="2:8">
      <c r="B1021" s="223">
        <v>80</v>
      </c>
      <c r="C1021" s="224" t="s">
        <v>1050</v>
      </c>
      <c r="D1021" s="216"/>
      <c r="E1021" s="241" t="s">
        <v>1029</v>
      </c>
      <c r="F1021" s="225">
        <v>1</v>
      </c>
      <c r="G1021" s="226">
        <v>1157870</v>
      </c>
      <c r="H1021" s="230">
        <f t="shared" si="29"/>
        <v>1157870</v>
      </c>
    </row>
    <row r="1022" spans="2:8">
      <c r="B1022" s="214">
        <v>81</v>
      </c>
      <c r="C1022" s="224" t="s">
        <v>1046</v>
      </c>
      <c r="D1022" s="216"/>
      <c r="E1022" s="241" t="s">
        <v>1029</v>
      </c>
      <c r="F1022" s="218">
        <v>30</v>
      </c>
      <c r="G1022" s="219">
        <v>408170</v>
      </c>
      <c r="H1022" s="220">
        <f t="shared" si="29"/>
        <v>12245100</v>
      </c>
    </row>
    <row r="1023" spans="2:8">
      <c r="B1023" s="223">
        <v>82</v>
      </c>
      <c r="C1023" s="224" t="s">
        <v>1079</v>
      </c>
      <c r="D1023" s="216"/>
      <c r="E1023" s="241" t="s">
        <v>1029</v>
      </c>
      <c r="F1023" s="225">
        <v>3</v>
      </c>
      <c r="G1023" s="226">
        <v>849660</v>
      </c>
      <c r="H1023" s="230">
        <f t="shared" si="29"/>
        <v>2548980</v>
      </c>
    </row>
    <row r="1024" spans="2:8">
      <c r="B1024" s="214">
        <v>83</v>
      </c>
      <c r="C1024" s="224" t="s">
        <v>1032</v>
      </c>
      <c r="D1024" s="216"/>
      <c r="E1024" s="241" t="s">
        <v>1029</v>
      </c>
      <c r="F1024" s="225">
        <v>3</v>
      </c>
      <c r="G1024" s="226">
        <v>366520</v>
      </c>
      <c r="H1024" s="230">
        <f t="shared" si="29"/>
        <v>1099560</v>
      </c>
    </row>
    <row r="1025" spans="2:8">
      <c r="B1025" s="223">
        <v>84</v>
      </c>
      <c r="C1025" s="224" t="s">
        <v>1084</v>
      </c>
      <c r="D1025" s="216"/>
      <c r="E1025" s="241" t="s">
        <v>1029</v>
      </c>
      <c r="F1025" s="225">
        <v>1</v>
      </c>
      <c r="G1025" s="226">
        <v>26016089</v>
      </c>
      <c r="H1025" s="230">
        <f t="shared" si="29"/>
        <v>26016089</v>
      </c>
    </row>
    <row r="1026" spans="2:8">
      <c r="B1026" s="223">
        <v>85</v>
      </c>
      <c r="C1026" s="224" t="s">
        <v>1085</v>
      </c>
      <c r="D1026" s="216"/>
      <c r="E1026" s="241" t="s">
        <v>1029</v>
      </c>
      <c r="F1026" s="225">
        <v>1</v>
      </c>
      <c r="G1026" s="226">
        <v>14076034</v>
      </c>
      <c r="H1026" s="230">
        <f t="shared" si="29"/>
        <v>14076034</v>
      </c>
    </row>
    <row r="1027" spans="2:8">
      <c r="B1027" s="223">
        <v>86</v>
      </c>
      <c r="C1027" s="224" t="s">
        <v>1086</v>
      </c>
      <c r="D1027" s="216"/>
      <c r="E1027" s="241" t="s">
        <v>1029</v>
      </c>
      <c r="F1027" s="225">
        <v>3</v>
      </c>
      <c r="G1027" s="226">
        <v>37794959</v>
      </c>
      <c r="H1027" s="230">
        <f t="shared" si="29"/>
        <v>113384877</v>
      </c>
    </row>
    <row r="1028" spans="2:8">
      <c r="B1028" s="214">
        <v>87</v>
      </c>
      <c r="C1028" s="224" t="s">
        <v>1058</v>
      </c>
      <c r="D1028" s="216"/>
      <c r="E1028" s="241" t="s">
        <v>1029</v>
      </c>
      <c r="F1028" s="225">
        <v>1</v>
      </c>
      <c r="G1028" s="219">
        <v>559776</v>
      </c>
      <c r="H1028" s="220">
        <f t="shared" si="29"/>
        <v>559776</v>
      </c>
    </row>
    <row r="1029" spans="2:8">
      <c r="B1029" s="214">
        <v>88</v>
      </c>
      <c r="C1029" s="224" t="s">
        <v>1059</v>
      </c>
      <c r="D1029" s="216"/>
      <c r="E1029" s="241" t="s">
        <v>1029</v>
      </c>
      <c r="F1029" s="218">
        <v>1</v>
      </c>
      <c r="G1029" s="219">
        <v>3920000</v>
      </c>
      <c r="H1029" s="220">
        <f t="shared" si="29"/>
        <v>3920000</v>
      </c>
    </row>
    <row r="1030" spans="2:8" ht="22.5" customHeight="1">
      <c r="B1030" s="227" t="s">
        <v>1087</v>
      </c>
      <c r="C1030" s="228"/>
      <c r="D1030" s="212"/>
      <c r="E1030" s="212"/>
      <c r="F1030" s="212"/>
      <c r="G1030" s="212"/>
      <c r="H1030" s="213"/>
    </row>
    <row r="1031" spans="2:8">
      <c r="B1031" s="214">
        <v>89</v>
      </c>
      <c r="C1031" s="224" t="s">
        <v>1049</v>
      </c>
      <c r="D1031" s="216"/>
      <c r="E1031" s="242" t="s">
        <v>1029</v>
      </c>
      <c r="F1031" s="218">
        <v>1</v>
      </c>
      <c r="G1031" s="219">
        <v>3165400</v>
      </c>
      <c r="H1031" s="220">
        <f t="shared" ref="H1031:H1038" si="30">F1031*G1031</f>
        <v>3165400</v>
      </c>
    </row>
    <row r="1032" spans="2:8">
      <c r="B1032" s="214">
        <v>90</v>
      </c>
      <c r="C1032" s="224" t="s">
        <v>1050</v>
      </c>
      <c r="D1032" s="216"/>
      <c r="E1032" s="241" t="s">
        <v>1029</v>
      </c>
      <c r="F1032" s="225">
        <v>1</v>
      </c>
      <c r="G1032" s="226">
        <v>1157870</v>
      </c>
      <c r="H1032" s="230">
        <f t="shared" si="30"/>
        <v>1157870</v>
      </c>
    </row>
    <row r="1033" spans="2:8">
      <c r="B1033" s="250">
        <v>91</v>
      </c>
      <c r="C1033" s="224" t="s">
        <v>1046</v>
      </c>
      <c r="D1033" s="216"/>
      <c r="E1033" s="251" t="s">
        <v>1029</v>
      </c>
      <c r="F1033" s="233">
        <v>28</v>
      </c>
      <c r="G1033" s="234">
        <v>408170</v>
      </c>
      <c r="H1033" s="235">
        <f t="shared" si="30"/>
        <v>11428760</v>
      </c>
    </row>
    <row r="1034" spans="2:8">
      <c r="B1034" s="236">
        <v>92</v>
      </c>
      <c r="C1034" s="224" t="s">
        <v>1088</v>
      </c>
      <c r="D1034" s="216"/>
      <c r="E1034" s="255" t="s">
        <v>1029</v>
      </c>
      <c r="F1034" s="238">
        <v>1</v>
      </c>
      <c r="G1034" s="239">
        <v>22611285</v>
      </c>
      <c r="H1034" s="240">
        <f t="shared" si="30"/>
        <v>22611285</v>
      </c>
    </row>
    <row r="1035" spans="2:8">
      <c r="B1035" s="223">
        <v>93</v>
      </c>
      <c r="C1035" s="224" t="s">
        <v>1089</v>
      </c>
      <c r="D1035" s="216"/>
      <c r="E1035" s="241" t="s">
        <v>1029</v>
      </c>
      <c r="F1035" s="225">
        <v>1</v>
      </c>
      <c r="G1035" s="226">
        <v>13603057</v>
      </c>
      <c r="H1035" s="230">
        <f t="shared" si="30"/>
        <v>13603057</v>
      </c>
    </row>
    <row r="1036" spans="2:8">
      <c r="B1036" s="223">
        <v>94</v>
      </c>
      <c r="C1036" s="224" t="s">
        <v>1090</v>
      </c>
      <c r="D1036" s="216"/>
      <c r="E1036" s="241" t="s">
        <v>1029</v>
      </c>
      <c r="F1036" s="225">
        <v>5</v>
      </c>
      <c r="G1036" s="226">
        <v>39268226</v>
      </c>
      <c r="H1036" s="230">
        <f t="shared" si="30"/>
        <v>196341130</v>
      </c>
    </row>
    <row r="1037" spans="2:8">
      <c r="B1037" s="214">
        <v>95</v>
      </c>
      <c r="C1037" s="224" t="s">
        <v>1058</v>
      </c>
      <c r="D1037" s="216"/>
      <c r="E1037" s="242" t="s">
        <v>1029</v>
      </c>
      <c r="F1037" s="218">
        <v>1</v>
      </c>
      <c r="G1037" s="219">
        <v>559776</v>
      </c>
      <c r="H1037" s="220">
        <f t="shared" si="30"/>
        <v>559776</v>
      </c>
    </row>
    <row r="1038" spans="2:8">
      <c r="B1038" s="214">
        <v>96</v>
      </c>
      <c r="C1038" s="224" t="s">
        <v>1059</v>
      </c>
      <c r="D1038" s="216"/>
      <c r="E1038" s="241" t="s">
        <v>1029</v>
      </c>
      <c r="F1038" s="218">
        <v>1</v>
      </c>
      <c r="G1038" s="219">
        <v>3920000</v>
      </c>
      <c r="H1038" s="220">
        <f t="shared" si="30"/>
        <v>3920000</v>
      </c>
    </row>
    <row r="1039" spans="2:8">
      <c r="B1039" s="227" t="s">
        <v>1091</v>
      </c>
      <c r="C1039" s="228"/>
      <c r="D1039" s="229"/>
      <c r="E1039" s="212"/>
      <c r="F1039" s="212"/>
      <c r="G1039" s="212"/>
      <c r="H1039" s="213"/>
    </row>
    <row r="1040" spans="2:8">
      <c r="B1040" s="214">
        <v>97</v>
      </c>
      <c r="C1040" s="224" t="s">
        <v>1049</v>
      </c>
      <c r="D1040" s="216"/>
      <c r="E1040" s="242" t="s">
        <v>1029</v>
      </c>
      <c r="F1040" s="218">
        <v>1</v>
      </c>
      <c r="G1040" s="219">
        <v>3165400</v>
      </c>
      <c r="H1040" s="220">
        <f t="shared" ref="H1040:H1049" si="31">F1040*G1040</f>
        <v>3165400</v>
      </c>
    </row>
    <row r="1041" spans="2:8">
      <c r="B1041" s="214">
        <v>98</v>
      </c>
      <c r="C1041" s="224" t="s">
        <v>1050</v>
      </c>
      <c r="D1041" s="216"/>
      <c r="E1041" s="241" t="s">
        <v>1029</v>
      </c>
      <c r="F1041" s="225">
        <v>1</v>
      </c>
      <c r="G1041" s="226">
        <v>1157870</v>
      </c>
      <c r="H1041" s="230">
        <f t="shared" si="31"/>
        <v>1157870</v>
      </c>
    </row>
    <row r="1042" spans="2:8">
      <c r="B1042" s="223">
        <v>99</v>
      </c>
      <c r="C1042" s="224" t="s">
        <v>1079</v>
      </c>
      <c r="D1042" s="216"/>
      <c r="E1042" s="241" t="s">
        <v>1029</v>
      </c>
      <c r="F1042" s="225">
        <v>2</v>
      </c>
      <c r="G1042" s="226">
        <v>849660</v>
      </c>
      <c r="H1042" s="230">
        <f t="shared" si="31"/>
        <v>1699320</v>
      </c>
    </row>
    <row r="1043" spans="2:8">
      <c r="B1043" s="223">
        <v>100</v>
      </c>
      <c r="C1043" s="224" t="s">
        <v>1032</v>
      </c>
      <c r="D1043" s="216"/>
      <c r="E1043" s="241" t="s">
        <v>1029</v>
      </c>
      <c r="F1043" s="218">
        <v>2</v>
      </c>
      <c r="G1043" s="219">
        <v>366520</v>
      </c>
      <c r="H1043" s="220">
        <f t="shared" si="31"/>
        <v>733040</v>
      </c>
    </row>
    <row r="1044" spans="2:8">
      <c r="B1044" s="223">
        <v>101</v>
      </c>
      <c r="C1044" s="224" t="s">
        <v>1046</v>
      </c>
      <c r="D1044" s="216"/>
      <c r="E1044" s="241" t="s">
        <v>1029</v>
      </c>
      <c r="F1044" s="218">
        <v>30</v>
      </c>
      <c r="G1044" s="219">
        <v>408170</v>
      </c>
      <c r="H1044" s="220">
        <f t="shared" si="31"/>
        <v>12245100</v>
      </c>
    </row>
    <row r="1045" spans="2:8">
      <c r="B1045" s="250">
        <v>102</v>
      </c>
      <c r="C1045" s="224" t="s">
        <v>1092</v>
      </c>
      <c r="D1045" s="216"/>
      <c r="E1045" s="251" t="s">
        <v>1029</v>
      </c>
      <c r="F1045" s="244">
        <v>3</v>
      </c>
      <c r="G1045" s="252">
        <f>$G$971</f>
        <v>58063092.088235229</v>
      </c>
      <c r="H1045" s="253">
        <f t="shared" si="31"/>
        <v>174189276.26470569</v>
      </c>
    </row>
    <row r="1046" spans="2:8">
      <c r="B1046" s="236">
        <v>103</v>
      </c>
      <c r="C1046" s="224" t="s">
        <v>1093</v>
      </c>
      <c r="D1046" s="216"/>
      <c r="E1046" s="255" t="s">
        <v>1029</v>
      </c>
      <c r="F1046" s="238">
        <v>1</v>
      </c>
      <c r="G1046" s="239">
        <v>20343859</v>
      </c>
      <c r="H1046" s="240">
        <f t="shared" si="31"/>
        <v>20343859</v>
      </c>
    </row>
    <row r="1047" spans="2:8">
      <c r="B1047" s="223">
        <v>104</v>
      </c>
      <c r="C1047" s="224" t="s">
        <v>1094</v>
      </c>
      <c r="D1047" s="216"/>
      <c r="E1047" s="241" t="s">
        <v>1029</v>
      </c>
      <c r="F1047" s="225">
        <v>1</v>
      </c>
      <c r="G1047" s="226">
        <v>9729940</v>
      </c>
      <c r="H1047" s="230">
        <f t="shared" si="31"/>
        <v>9729940</v>
      </c>
    </row>
    <row r="1048" spans="2:8">
      <c r="B1048" s="214">
        <v>105</v>
      </c>
      <c r="C1048" s="224" t="s">
        <v>1058</v>
      </c>
      <c r="D1048" s="216"/>
      <c r="E1048" s="242" t="s">
        <v>1029</v>
      </c>
      <c r="F1048" s="218">
        <v>1</v>
      </c>
      <c r="G1048" s="219">
        <v>559776</v>
      </c>
      <c r="H1048" s="220">
        <f t="shared" si="31"/>
        <v>559776</v>
      </c>
    </row>
    <row r="1049" spans="2:8">
      <c r="B1049" s="214">
        <v>106</v>
      </c>
      <c r="C1049" s="224" t="s">
        <v>1059</v>
      </c>
      <c r="D1049" s="216"/>
      <c r="E1049" s="242" t="s">
        <v>1029</v>
      </c>
      <c r="F1049" s="218">
        <v>1</v>
      </c>
      <c r="G1049" s="219">
        <v>3920000</v>
      </c>
      <c r="H1049" s="220">
        <f t="shared" si="31"/>
        <v>3920000</v>
      </c>
    </row>
    <row r="1050" spans="2:8">
      <c r="B1050" s="227" t="s">
        <v>1095</v>
      </c>
      <c r="C1050" s="228"/>
      <c r="D1050" s="229"/>
      <c r="E1050" s="212"/>
      <c r="F1050" s="212"/>
      <c r="G1050" s="212"/>
      <c r="H1050" s="213"/>
    </row>
    <row r="1051" spans="2:8">
      <c r="B1051" s="214">
        <v>107</v>
      </c>
      <c r="C1051" s="224" t="s">
        <v>1049</v>
      </c>
      <c r="D1051" s="216"/>
      <c r="E1051" s="242" t="s">
        <v>1029</v>
      </c>
      <c r="F1051" s="218">
        <v>1</v>
      </c>
      <c r="G1051" s="219">
        <v>3165400</v>
      </c>
      <c r="H1051" s="220">
        <f t="shared" ref="H1051:H1062" si="32">F1051*G1051</f>
        <v>3165400</v>
      </c>
    </row>
    <row r="1052" spans="2:8">
      <c r="B1052" s="214">
        <v>108</v>
      </c>
      <c r="C1052" s="224" t="s">
        <v>1050</v>
      </c>
      <c r="D1052" s="216"/>
      <c r="E1052" s="241" t="s">
        <v>1029</v>
      </c>
      <c r="F1052" s="225">
        <v>1</v>
      </c>
      <c r="G1052" s="226">
        <v>1157870</v>
      </c>
      <c r="H1052" s="230">
        <f t="shared" si="32"/>
        <v>1157870</v>
      </c>
    </row>
    <row r="1053" spans="2:8">
      <c r="B1053" s="214">
        <v>109</v>
      </c>
      <c r="C1053" s="224" t="s">
        <v>1079</v>
      </c>
      <c r="D1053" s="216"/>
      <c r="E1053" s="241" t="s">
        <v>1029</v>
      </c>
      <c r="F1053" s="225">
        <v>1</v>
      </c>
      <c r="G1053" s="226">
        <v>849660</v>
      </c>
      <c r="H1053" s="230">
        <f t="shared" si="32"/>
        <v>849660</v>
      </c>
    </row>
    <row r="1054" spans="2:8">
      <c r="B1054" s="223">
        <v>110</v>
      </c>
      <c r="C1054" s="224" t="s">
        <v>1032</v>
      </c>
      <c r="D1054" s="216"/>
      <c r="E1054" s="241" t="s">
        <v>1029</v>
      </c>
      <c r="F1054" s="218">
        <v>1</v>
      </c>
      <c r="G1054" s="219">
        <v>366520</v>
      </c>
      <c r="H1054" s="220">
        <f t="shared" si="32"/>
        <v>366520</v>
      </c>
    </row>
    <row r="1055" spans="2:8">
      <c r="B1055" s="214">
        <v>111</v>
      </c>
      <c r="C1055" s="224" t="s">
        <v>1058</v>
      </c>
      <c r="D1055" s="216"/>
      <c r="E1055" s="242" t="s">
        <v>1029</v>
      </c>
      <c r="F1055" s="225">
        <v>1</v>
      </c>
      <c r="G1055" s="219">
        <v>559776</v>
      </c>
      <c r="H1055" s="220">
        <f t="shared" si="32"/>
        <v>559776</v>
      </c>
    </row>
    <row r="1056" spans="2:8">
      <c r="B1056" s="223">
        <v>112</v>
      </c>
      <c r="C1056" s="224" t="s">
        <v>1046</v>
      </c>
      <c r="D1056" s="216"/>
      <c r="E1056" s="241" t="s">
        <v>1029</v>
      </c>
      <c r="F1056" s="218">
        <v>30</v>
      </c>
      <c r="G1056" s="219">
        <v>408170</v>
      </c>
      <c r="H1056" s="220">
        <f t="shared" si="32"/>
        <v>12245100</v>
      </c>
    </row>
    <row r="1057" spans="2:8">
      <c r="B1057" s="223">
        <v>113</v>
      </c>
      <c r="C1057" s="224" t="s">
        <v>1096</v>
      </c>
      <c r="D1057" s="216"/>
      <c r="E1057" s="241" t="s">
        <v>1029</v>
      </c>
      <c r="F1057" s="225">
        <v>3</v>
      </c>
      <c r="G1057" s="226">
        <f>$G$971</f>
        <v>58063092.088235229</v>
      </c>
      <c r="H1057" s="230">
        <f t="shared" si="32"/>
        <v>174189276.26470569</v>
      </c>
    </row>
    <row r="1058" spans="2:8">
      <c r="B1058" s="223">
        <v>114</v>
      </c>
      <c r="C1058" s="224" t="s">
        <v>1097</v>
      </c>
      <c r="D1058" s="216"/>
      <c r="E1058" s="241" t="s">
        <v>1029</v>
      </c>
      <c r="F1058" s="225">
        <v>1</v>
      </c>
      <c r="G1058" s="226">
        <v>24482370</v>
      </c>
      <c r="H1058" s="230">
        <f t="shared" si="32"/>
        <v>24482370</v>
      </c>
    </row>
    <row r="1059" spans="2:8">
      <c r="B1059" s="250">
        <v>115</v>
      </c>
      <c r="C1059" s="224" t="s">
        <v>1098</v>
      </c>
      <c r="D1059" s="216"/>
      <c r="E1059" s="251" t="s">
        <v>1029</v>
      </c>
      <c r="F1059" s="244">
        <v>1</v>
      </c>
      <c r="G1059" s="252">
        <v>18581398</v>
      </c>
      <c r="H1059" s="253">
        <f t="shared" si="32"/>
        <v>18581398</v>
      </c>
    </row>
    <row r="1060" spans="2:8">
      <c r="B1060" s="236">
        <v>116</v>
      </c>
      <c r="C1060" s="224" t="s">
        <v>1099</v>
      </c>
      <c r="D1060" s="216"/>
      <c r="E1060" s="255" t="s">
        <v>1029</v>
      </c>
      <c r="F1060" s="238">
        <v>1</v>
      </c>
      <c r="G1060" s="239">
        <v>14752430</v>
      </c>
      <c r="H1060" s="240">
        <f t="shared" si="32"/>
        <v>14752430</v>
      </c>
    </row>
    <row r="1061" spans="2:8">
      <c r="B1061" s="223">
        <v>117</v>
      </c>
      <c r="C1061" s="224" t="s">
        <v>1100</v>
      </c>
      <c r="D1061" s="216"/>
      <c r="E1061" s="241" t="s">
        <v>1029</v>
      </c>
      <c r="F1061" s="225">
        <v>1</v>
      </c>
      <c r="G1061" s="226">
        <v>3981740</v>
      </c>
      <c r="H1061" s="230">
        <f t="shared" si="32"/>
        <v>3981740</v>
      </c>
    </row>
    <row r="1062" spans="2:8">
      <c r="B1062" s="214">
        <v>118</v>
      </c>
      <c r="C1062" s="224" t="s">
        <v>1059</v>
      </c>
      <c r="D1062" s="216"/>
      <c r="E1062" s="241" t="s">
        <v>1029</v>
      </c>
      <c r="F1062" s="218">
        <v>1</v>
      </c>
      <c r="G1062" s="219">
        <v>3920000</v>
      </c>
      <c r="H1062" s="220">
        <f t="shared" si="32"/>
        <v>3920000</v>
      </c>
    </row>
    <row r="1063" spans="2:8">
      <c r="B1063" s="227" t="s">
        <v>1070</v>
      </c>
      <c r="C1063" s="228"/>
      <c r="D1063" s="229"/>
      <c r="E1063" s="212"/>
      <c r="F1063" s="212"/>
      <c r="G1063" s="212"/>
      <c r="H1063" s="213"/>
    </row>
    <row r="1064" spans="2:8">
      <c r="B1064" s="214">
        <v>119</v>
      </c>
      <c r="C1064" s="224" t="s">
        <v>1049</v>
      </c>
      <c r="D1064" s="216"/>
      <c r="E1064" s="242" t="s">
        <v>1029</v>
      </c>
      <c r="F1064" s="218">
        <v>1</v>
      </c>
      <c r="G1064" s="219">
        <v>3165400</v>
      </c>
      <c r="H1064" s="220">
        <f t="shared" ref="H1064:H1071" si="33">F1064*G1064</f>
        <v>3165400</v>
      </c>
    </row>
    <row r="1065" spans="2:8">
      <c r="B1065" s="223">
        <v>120</v>
      </c>
      <c r="C1065" s="224" t="s">
        <v>1050</v>
      </c>
      <c r="D1065" s="216"/>
      <c r="E1065" s="241" t="s">
        <v>1029</v>
      </c>
      <c r="F1065" s="225">
        <v>1</v>
      </c>
      <c r="G1065" s="226">
        <v>1157870</v>
      </c>
      <c r="H1065" s="230">
        <f t="shared" si="33"/>
        <v>1157870</v>
      </c>
    </row>
    <row r="1066" spans="2:8">
      <c r="B1066" s="223">
        <v>121</v>
      </c>
      <c r="C1066" s="224" t="s">
        <v>1101</v>
      </c>
      <c r="D1066" s="216"/>
      <c r="E1066" s="242" t="s">
        <v>1029</v>
      </c>
      <c r="F1066" s="225">
        <v>30</v>
      </c>
      <c r="G1066" s="226">
        <f>$G$1140</f>
        <v>210000</v>
      </c>
      <c r="H1066" s="230">
        <f t="shared" si="33"/>
        <v>6300000</v>
      </c>
    </row>
    <row r="1067" spans="2:8">
      <c r="B1067" s="223">
        <v>122</v>
      </c>
      <c r="C1067" s="224" t="s">
        <v>1071</v>
      </c>
      <c r="D1067" s="216"/>
      <c r="E1067" s="242" t="s">
        <v>1029</v>
      </c>
      <c r="F1067" s="225">
        <v>6</v>
      </c>
      <c r="G1067" s="226">
        <v>2998800</v>
      </c>
      <c r="H1067" s="230">
        <f t="shared" si="33"/>
        <v>17992800</v>
      </c>
    </row>
    <row r="1068" spans="2:8">
      <c r="B1068" s="214">
        <v>123</v>
      </c>
      <c r="C1068" s="224" t="s">
        <v>1030</v>
      </c>
      <c r="D1068" s="216"/>
      <c r="E1068" s="241" t="s">
        <v>1029</v>
      </c>
      <c r="F1068" s="218">
        <v>14</v>
      </c>
      <c r="G1068" s="219">
        <v>466480</v>
      </c>
      <c r="H1068" s="220">
        <f t="shared" si="33"/>
        <v>6530720</v>
      </c>
    </row>
    <row r="1069" spans="2:8">
      <c r="B1069" s="214">
        <v>124</v>
      </c>
      <c r="C1069" s="224" t="s">
        <v>1039</v>
      </c>
      <c r="D1069" s="216"/>
      <c r="E1069" s="241" t="s">
        <v>1029</v>
      </c>
      <c r="F1069" s="218">
        <v>1</v>
      </c>
      <c r="G1069" s="226">
        <v>849660</v>
      </c>
      <c r="H1069" s="230">
        <f t="shared" si="33"/>
        <v>849660</v>
      </c>
    </row>
    <row r="1070" spans="2:8">
      <c r="B1070" s="223">
        <v>125</v>
      </c>
      <c r="C1070" s="224" t="s">
        <v>1032</v>
      </c>
      <c r="D1070" s="216"/>
      <c r="E1070" s="241" t="s">
        <v>1029</v>
      </c>
      <c r="F1070" s="218">
        <v>1</v>
      </c>
      <c r="G1070" s="219">
        <v>366520</v>
      </c>
      <c r="H1070" s="220">
        <f t="shared" si="33"/>
        <v>366520</v>
      </c>
    </row>
    <row r="1071" spans="2:8">
      <c r="B1071" s="214">
        <v>126</v>
      </c>
      <c r="C1071" s="224" t="s">
        <v>1058</v>
      </c>
      <c r="D1071" s="216"/>
      <c r="E1071" s="242" t="s">
        <v>1029</v>
      </c>
      <c r="F1071" s="218">
        <v>1</v>
      </c>
      <c r="G1071" s="219">
        <v>1030176</v>
      </c>
      <c r="H1071" s="220">
        <f t="shared" si="33"/>
        <v>1030176</v>
      </c>
    </row>
    <row r="1072" spans="2:8">
      <c r="B1072" s="227" t="s">
        <v>1072</v>
      </c>
      <c r="C1072" s="228"/>
      <c r="D1072" s="229"/>
      <c r="E1072" s="212"/>
      <c r="F1072" s="212"/>
      <c r="G1072" s="212"/>
      <c r="H1072" s="213"/>
    </row>
    <row r="1073" spans="2:8">
      <c r="B1073" s="214">
        <v>127</v>
      </c>
      <c r="C1073" s="224" t="s">
        <v>1102</v>
      </c>
      <c r="D1073" s="216"/>
      <c r="E1073" s="242" t="s">
        <v>1029</v>
      </c>
      <c r="F1073" s="218">
        <v>1</v>
      </c>
      <c r="G1073" s="219">
        <v>3165400</v>
      </c>
      <c r="H1073" s="220">
        <f t="shared" ref="H1073:H1080" si="34">F1073*G1073</f>
        <v>3165400</v>
      </c>
    </row>
    <row r="1074" spans="2:8">
      <c r="B1074" s="214">
        <v>128</v>
      </c>
      <c r="C1074" s="224" t="s">
        <v>1050</v>
      </c>
      <c r="D1074" s="216"/>
      <c r="E1074" s="241" t="s">
        <v>1029</v>
      </c>
      <c r="F1074" s="225">
        <v>1</v>
      </c>
      <c r="G1074" s="226">
        <v>1157870</v>
      </c>
      <c r="H1074" s="230">
        <f t="shared" si="34"/>
        <v>1157870</v>
      </c>
    </row>
    <row r="1075" spans="2:8">
      <c r="B1075" s="214">
        <v>129</v>
      </c>
      <c r="C1075" s="224" t="s">
        <v>1073</v>
      </c>
      <c r="D1075" s="216"/>
      <c r="E1075" s="241" t="s">
        <v>1029</v>
      </c>
      <c r="F1075" s="218">
        <v>21</v>
      </c>
      <c r="G1075" s="219">
        <v>1749300</v>
      </c>
      <c r="H1075" s="220">
        <f t="shared" si="34"/>
        <v>36735300</v>
      </c>
    </row>
    <row r="1076" spans="2:8">
      <c r="B1076" s="214">
        <v>130</v>
      </c>
      <c r="C1076" s="224" t="s">
        <v>1103</v>
      </c>
      <c r="D1076" s="216"/>
      <c r="E1076" s="241" t="s">
        <v>1029</v>
      </c>
      <c r="F1076" s="218">
        <v>30</v>
      </c>
      <c r="G1076" s="219">
        <v>476012.74442806299</v>
      </c>
      <c r="H1076" s="220">
        <f t="shared" si="34"/>
        <v>14280382.33284189</v>
      </c>
    </row>
    <row r="1077" spans="2:8">
      <c r="B1077" s="223">
        <v>131</v>
      </c>
      <c r="C1077" s="224" t="s">
        <v>1075</v>
      </c>
      <c r="D1077" s="216"/>
      <c r="E1077" s="241" t="s">
        <v>1029</v>
      </c>
      <c r="F1077" s="225">
        <v>6</v>
      </c>
      <c r="G1077" s="226">
        <v>2998800</v>
      </c>
      <c r="H1077" s="230">
        <f t="shared" si="34"/>
        <v>17992800</v>
      </c>
    </row>
    <row r="1078" spans="2:8">
      <c r="B1078" s="223">
        <v>132</v>
      </c>
      <c r="C1078" s="224" t="s">
        <v>1039</v>
      </c>
      <c r="D1078" s="216"/>
      <c r="E1078" s="241" t="s">
        <v>1029</v>
      </c>
      <c r="F1078" s="225">
        <v>1</v>
      </c>
      <c r="G1078" s="226">
        <v>849660</v>
      </c>
      <c r="H1078" s="230">
        <f t="shared" si="34"/>
        <v>849660</v>
      </c>
    </row>
    <row r="1079" spans="2:8">
      <c r="B1079" s="214">
        <v>133</v>
      </c>
      <c r="C1079" s="224" t="s">
        <v>1032</v>
      </c>
      <c r="D1079" s="216"/>
      <c r="E1079" s="241" t="s">
        <v>1029</v>
      </c>
      <c r="F1079" s="225">
        <v>1</v>
      </c>
      <c r="G1079" s="226">
        <v>366520</v>
      </c>
      <c r="H1079" s="230">
        <f t="shared" si="34"/>
        <v>366520</v>
      </c>
    </row>
    <row r="1080" spans="2:8">
      <c r="B1080" s="214">
        <v>134</v>
      </c>
      <c r="C1080" s="224" t="s">
        <v>1058</v>
      </c>
      <c r="D1080" s="216"/>
      <c r="E1080" s="241" t="s">
        <v>1029</v>
      </c>
      <c r="F1080" s="218">
        <v>1</v>
      </c>
      <c r="G1080" s="219">
        <v>559776</v>
      </c>
      <c r="H1080" s="220">
        <f t="shared" si="34"/>
        <v>559776</v>
      </c>
    </row>
    <row r="1081" spans="2:8">
      <c r="B1081" s="227" t="s">
        <v>1104</v>
      </c>
      <c r="C1081" s="228"/>
      <c r="D1081" s="229"/>
      <c r="E1081" s="212"/>
      <c r="F1081" s="212"/>
      <c r="G1081" s="212"/>
      <c r="H1081" s="213"/>
    </row>
    <row r="1082" spans="2:8">
      <c r="B1082" s="231">
        <v>135</v>
      </c>
      <c r="C1082" s="224" t="s">
        <v>1049</v>
      </c>
      <c r="D1082" s="216"/>
      <c r="E1082" s="243" t="s">
        <v>1029</v>
      </c>
      <c r="F1082" s="233">
        <v>1</v>
      </c>
      <c r="G1082" s="234">
        <v>3165400</v>
      </c>
      <c r="H1082" s="235">
        <f t="shared" ref="H1082:H1092" si="35">F1082*G1082</f>
        <v>3165400</v>
      </c>
    </row>
    <row r="1083" spans="2:8">
      <c r="B1083" s="245">
        <v>136</v>
      </c>
      <c r="C1083" s="224" t="s">
        <v>1050</v>
      </c>
      <c r="D1083" s="216"/>
      <c r="E1083" s="255" t="s">
        <v>1029</v>
      </c>
      <c r="F1083" s="238">
        <v>1</v>
      </c>
      <c r="G1083" s="239">
        <v>1157870</v>
      </c>
      <c r="H1083" s="240">
        <f t="shared" si="35"/>
        <v>1157870</v>
      </c>
    </row>
    <row r="1084" spans="2:8">
      <c r="B1084" s="223">
        <v>137</v>
      </c>
      <c r="C1084" s="224" t="s">
        <v>1046</v>
      </c>
      <c r="D1084" s="216"/>
      <c r="E1084" s="241" t="s">
        <v>1029</v>
      </c>
      <c r="F1084" s="218">
        <v>28</v>
      </c>
      <c r="G1084" s="219">
        <v>408170</v>
      </c>
      <c r="H1084" s="220">
        <f t="shared" si="35"/>
        <v>11428760</v>
      </c>
    </row>
    <row r="1085" spans="2:8">
      <c r="B1085" s="214">
        <v>138</v>
      </c>
      <c r="C1085" s="224" t="s">
        <v>1058</v>
      </c>
      <c r="D1085" s="216"/>
      <c r="E1085" s="242" t="s">
        <v>1029</v>
      </c>
      <c r="F1085" s="218">
        <v>1</v>
      </c>
      <c r="G1085" s="219">
        <v>559776</v>
      </c>
      <c r="H1085" s="220">
        <f t="shared" si="35"/>
        <v>559776</v>
      </c>
    </row>
    <row r="1086" spans="2:8">
      <c r="B1086" s="223">
        <v>139</v>
      </c>
      <c r="C1086" s="224" t="s">
        <v>1039</v>
      </c>
      <c r="D1086" s="216"/>
      <c r="E1086" s="241" t="s">
        <v>1029</v>
      </c>
      <c r="F1086" s="225">
        <v>1</v>
      </c>
      <c r="G1086" s="226">
        <v>849660</v>
      </c>
      <c r="H1086" s="230">
        <f t="shared" si="35"/>
        <v>849660</v>
      </c>
    </row>
    <row r="1087" spans="2:8">
      <c r="B1087" s="214">
        <v>140</v>
      </c>
      <c r="C1087" s="224" t="s">
        <v>1032</v>
      </c>
      <c r="D1087" s="216"/>
      <c r="E1087" s="241" t="s">
        <v>1029</v>
      </c>
      <c r="F1087" s="225">
        <v>1</v>
      </c>
      <c r="G1087" s="226">
        <v>366520</v>
      </c>
      <c r="H1087" s="230">
        <f t="shared" si="35"/>
        <v>366520</v>
      </c>
    </row>
    <row r="1088" spans="2:8">
      <c r="B1088" s="223">
        <v>141</v>
      </c>
      <c r="C1088" s="224" t="s">
        <v>1105</v>
      </c>
      <c r="D1088" s="216"/>
      <c r="E1088" s="241" t="s">
        <v>1029</v>
      </c>
      <c r="F1088" s="225">
        <v>4</v>
      </c>
      <c r="G1088" s="226">
        <v>39268226</v>
      </c>
      <c r="H1088" s="230">
        <f t="shared" si="35"/>
        <v>157072904</v>
      </c>
    </row>
    <row r="1089" spans="2:8">
      <c r="B1089" s="223">
        <v>142</v>
      </c>
      <c r="C1089" s="224" t="s">
        <v>1106</v>
      </c>
      <c r="D1089" s="216"/>
      <c r="E1089" s="241" t="s">
        <v>1029</v>
      </c>
      <c r="F1089" s="225">
        <v>1</v>
      </c>
      <c r="G1089" s="226">
        <v>19178159</v>
      </c>
      <c r="H1089" s="230">
        <f t="shared" si="35"/>
        <v>19178159</v>
      </c>
    </row>
    <row r="1090" spans="2:8">
      <c r="B1090" s="223">
        <v>143</v>
      </c>
      <c r="C1090" s="224" t="s">
        <v>1107</v>
      </c>
      <c r="D1090" s="216"/>
      <c r="E1090" s="241" t="s">
        <v>1029</v>
      </c>
      <c r="F1090" s="225">
        <v>1</v>
      </c>
      <c r="G1090" s="226">
        <v>17702916</v>
      </c>
      <c r="H1090" s="230">
        <f t="shared" si="35"/>
        <v>17702916</v>
      </c>
    </row>
    <row r="1091" spans="2:8">
      <c r="B1091" s="223">
        <v>144</v>
      </c>
      <c r="C1091" s="224" t="s">
        <v>1108</v>
      </c>
      <c r="D1091" s="216"/>
      <c r="E1091" s="241" t="s">
        <v>1029</v>
      </c>
      <c r="F1091" s="225">
        <v>1</v>
      </c>
      <c r="G1091" s="226">
        <v>13565572</v>
      </c>
      <c r="H1091" s="230">
        <f t="shared" si="35"/>
        <v>13565572</v>
      </c>
    </row>
    <row r="1092" spans="2:8">
      <c r="B1092" s="214">
        <v>145</v>
      </c>
      <c r="C1092" s="224" t="s">
        <v>1059</v>
      </c>
      <c r="D1092" s="216"/>
      <c r="E1092" s="241" t="s">
        <v>1029</v>
      </c>
      <c r="F1092" s="218">
        <v>1</v>
      </c>
      <c r="G1092" s="219">
        <v>3920000</v>
      </c>
      <c r="H1092" s="220">
        <f t="shared" si="35"/>
        <v>3920000</v>
      </c>
    </row>
    <row r="1093" spans="2:8">
      <c r="B1093" s="227" t="s">
        <v>1109</v>
      </c>
      <c r="C1093" s="228"/>
      <c r="D1093" s="229"/>
      <c r="E1093" s="212"/>
      <c r="F1093" s="212"/>
      <c r="G1093" s="212"/>
      <c r="H1093" s="213"/>
    </row>
    <row r="1094" spans="2:8">
      <c r="B1094" s="214">
        <v>146</v>
      </c>
      <c r="C1094" s="224" t="s">
        <v>1049</v>
      </c>
      <c r="D1094" s="216"/>
      <c r="E1094" s="242" t="s">
        <v>1029</v>
      </c>
      <c r="F1094" s="218">
        <v>1</v>
      </c>
      <c r="G1094" s="219">
        <v>3165400</v>
      </c>
      <c r="H1094" s="220">
        <f t="shared" ref="H1094:H1104" si="36">F1094*G1094</f>
        <v>3165400</v>
      </c>
    </row>
    <row r="1095" spans="2:8">
      <c r="B1095" s="223">
        <v>147</v>
      </c>
      <c r="C1095" s="224" t="s">
        <v>1050</v>
      </c>
      <c r="D1095" s="216"/>
      <c r="E1095" s="241" t="s">
        <v>1029</v>
      </c>
      <c r="F1095" s="225">
        <v>1</v>
      </c>
      <c r="G1095" s="226">
        <v>1157870</v>
      </c>
      <c r="H1095" s="230">
        <f t="shared" si="36"/>
        <v>1157870</v>
      </c>
    </row>
    <row r="1096" spans="2:8">
      <c r="B1096" s="223">
        <v>148</v>
      </c>
      <c r="C1096" s="224" t="s">
        <v>1046</v>
      </c>
      <c r="D1096" s="216"/>
      <c r="E1096" s="241" t="s">
        <v>1029</v>
      </c>
      <c r="F1096" s="218">
        <v>28</v>
      </c>
      <c r="G1096" s="219">
        <v>408170</v>
      </c>
      <c r="H1096" s="220">
        <f t="shared" si="36"/>
        <v>11428760</v>
      </c>
    </row>
    <row r="1097" spans="2:8">
      <c r="B1097" s="214">
        <v>149</v>
      </c>
      <c r="C1097" s="224" t="s">
        <v>1058</v>
      </c>
      <c r="D1097" s="216"/>
      <c r="E1097" s="242" t="s">
        <v>1029</v>
      </c>
      <c r="F1097" s="225">
        <v>1</v>
      </c>
      <c r="G1097" s="219">
        <v>559776</v>
      </c>
      <c r="H1097" s="220">
        <f t="shared" si="36"/>
        <v>559776</v>
      </c>
    </row>
    <row r="1098" spans="2:8">
      <c r="B1098" s="250">
        <v>150</v>
      </c>
      <c r="C1098" s="224" t="s">
        <v>1039</v>
      </c>
      <c r="D1098" s="216"/>
      <c r="E1098" s="251" t="s">
        <v>1029</v>
      </c>
      <c r="F1098" s="244">
        <v>1</v>
      </c>
      <c r="G1098" s="252">
        <v>849660</v>
      </c>
      <c r="H1098" s="253">
        <f t="shared" si="36"/>
        <v>849660</v>
      </c>
    </row>
    <row r="1099" spans="2:8">
      <c r="B1099" s="245">
        <v>151</v>
      </c>
      <c r="C1099" s="224" t="s">
        <v>1032</v>
      </c>
      <c r="D1099" s="216"/>
      <c r="E1099" s="255" t="s">
        <v>1029</v>
      </c>
      <c r="F1099" s="238">
        <v>1</v>
      </c>
      <c r="G1099" s="239">
        <v>366520</v>
      </c>
      <c r="H1099" s="240">
        <f t="shared" si="36"/>
        <v>366520</v>
      </c>
    </row>
    <row r="1100" spans="2:8">
      <c r="B1100" s="223">
        <v>152</v>
      </c>
      <c r="C1100" s="224" t="s">
        <v>1105</v>
      </c>
      <c r="D1100" s="216"/>
      <c r="E1100" s="241" t="s">
        <v>1029</v>
      </c>
      <c r="F1100" s="225">
        <v>4</v>
      </c>
      <c r="G1100" s="226">
        <v>39268226</v>
      </c>
      <c r="H1100" s="230">
        <f t="shared" si="36"/>
        <v>157072904</v>
      </c>
    </row>
    <row r="1101" spans="2:8">
      <c r="B1101" s="223">
        <v>153</v>
      </c>
      <c r="C1101" s="224" t="s">
        <v>1110</v>
      </c>
      <c r="D1101" s="216"/>
      <c r="E1101" s="242" t="s">
        <v>1029</v>
      </c>
      <c r="F1101" s="225">
        <v>1</v>
      </c>
      <c r="G1101" s="226">
        <v>22717576</v>
      </c>
      <c r="H1101" s="230">
        <f t="shared" si="36"/>
        <v>22717576</v>
      </c>
    </row>
    <row r="1102" spans="2:8">
      <c r="B1102" s="223">
        <v>154</v>
      </c>
      <c r="C1102" s="224" t="s">
        <v>1110</v>
      </c>
      <c r="D1102" s="216"/>
      <c r="E1102" s="242" t="s">
        <v>1029</v>
      </c>
      <c r="F1102" s="225">
        <v>1</v>
      </c>
      <c r="G1102" s="226">
        <v>14457381</v>
      </c>
      <c r="H1102" s="230">
        <f t="shared" si="36"/>
        <v>14457381</v>
      </c>
    </row>
    <row r="1103" spans="2:8">
      <c r="B1103" s="223">
        <v>155</v>
      </c>
      <c r="C1103" s="224" t="s">
        <v>1110</v>
      </c>
      <c r="D1103" s="216"/>
      <c r="E1103" s="241" t="s">
        <v>1029</v>
      </c>
      <c r="F1103" s="225">
        <v>1</v>
      </c>
      <c r="G1103" s="226">
        <v>10024988</v>
      </c>
      <c r="H1103" s="230">
        <f t="shared" si="36"/>
        <v>10024988</v>
      </c>
    </row>
    <row r="1104" spans="2:8">
      <c r="B1104" s="214">
        <v>156</v>
      </c>
      <c r="C1104" s="224" t="s">
        <v>1059</v>
      </c>
      <c r="D1104" s="216"/>
      <c r="E1104" s="241" t="s">
        <v>1029</v>
      </c>
      <c r="F1104" s="218">
        <v>1</v>
      </c>
      <c r="G1104" s="219">
        <v>3920000</v>
      </c>
      <c r="H1104" s="220">
        <f t="shared" si="36"/>
        <v>3920000</v>
      </c>
    </row>
    <row r="1105" spans="2:8">
      <c r="B1105" s="227" t="s">
        <v>1111</v>
      </c>
      <c r="C1105" s="228"/>
      <c r="D1105" s="229"/>
      <c r="E1105" s="212"/>
      <c r="F1105" s="212"/>
      <c r="G1105" s="212"/>
      <c r="H1105" s="213"/>
    </row>
    <row r="1106" spans="2:8">
      <c r="B1106" s="214">
        <v>157</v>
      </c>
      <c r="C1106" s="224" t="s">
        <v>1049</v>
      </c>
      <c r="D1106" s="216"/>
      <c r="E1106" s="241" t="s">
        <v>1029</v>
      </c>
      <c r="F1106" s="218">
        <v>1</v>
      </c>
      <c r="G1106" s="219">
        <v>3165400</v>
      </c>
      <c r="H1106" s="220">
        <f t="shared" ref="H1106:H1115" si="37">F1106*G1106</f>
        <v>3165400</v>
      </c>
    </row>
    <row r="1107" spans="2:8">
      <c r="B1107" s="214">
        <v>158</v>
      </c>
      <c r="C1107" s="224" t="s">
        <v>1050</v>
      </c>
      <c r="D1107" s="216"/>
      <c r="E1107" s="241" t="s">
        <v>1029</v>
      </c>
      <c r="F1107" s="225">
        <v>1</v>
      </c>
      <c r="G1107" s="226">
        <v>1157870</v>
      </c>
      <c r="H1107" s="230">
        <f t="shared" si="37"/>
        <v>1157870</v>
      </c>
    </row>
    <row r="1108" spans="2:8">
      <c r="B1108" s="214">
        <v>159</v>
      </c>
      <c r="C1108" s="224" t="s">
        <v>1046</v>
      </c>
      <c r="D1108" s="216"/>
      <c r="E1108" s="241" t="s">
        <v>1029</v>
      </c>
      <c r="F1108" s="225">
        <v>30</v>
      </c>
      <c r="G1108" s="226">
        <v>408170</v>
      </c>
      <c r="H1108" s="230">
        <f t="shared" si="37"/>
        <v>12245100</v>
      </c>
    </row>
    <row r="1109" spans="2:8">
      <c r="B1109" s="223">
        <v>160</v>
      </c>
      <c r="C1109" s="224" t="s">
        <v>1039</v>
      </c>
      <c r="D1109" s="216"/>
      <c r="E1109" s="241" t="s">
        <v>1029</v>
      </c>
      <c r="F1109" s="225">
        <v>2</v>
      </c>
      <c r="G1109" s="226">
        <v>849660</v>
      </c>
      <c r="H1109" s="230">
        <f t="shared" si="37"/>
        <v>1699320</v>
      </c>
    </row>
    <row r="1110" spans="2:8">
      <c r="B1110" s="214">
        <v>161</v>
      </c>
      <c r="C1110" s="224" t="s">
        <v>1032</v>
      </c>
      <c r="D1110" s="216"/>
      <c r="E1110" s="241" t="s">
        <v>1029</v>
      </c>
      <c r="F1110" s="225">
        <v>2</v>
      </c>
      <c r="G1110" s="226">
        <v>366520</v>
      </c>
      <c r="H1110" s="230">
        <f t="shared" si="37"/>
        <v>733040</v>
      </c>
    </row>
    <row r="1111" spans="2:8">
      <c r="B1111" s="223">
        <v>162</v>
      </c>
      <c r="C1111" s="224" t="s">
        <v>1112</v>
      </c>
      <c r="D1111" s="216"/>
      <c r="E1111" s="241" t="s">
        <v>1029</v>
      </c>
      <c r="F1111" s="225">
        <v>1</v>
      </c>
      <c r="G1111" s="226">
        <v>30965609</v>
      </c>
      <c r="H1111" s="230">
        <f t="shared" si="37"/>
        <v>30965609</v>
      </c>
    </row>
    <row r="1112" spans="2:8">
      <c r="B1112" s="250">
        <v>163</v>
      </c>
      <c r="C1112" s="224" t="s">
        <v>1113</v>
      </c>
      <c r="D1112" s="216"/>
      <c r="E1112" s="251" t="s">
        <v>1029</v>
      </c>
      <c r="F1112" s="244">
        <v>1</v>
      </c>
      <c r="G1112" s="252">
        <v>20653402</v>
      </c>
      <c r="H1112" s="253">
        <f t="shared" si="37"/>
        <v>20653402</v>
      </c>
    </row>
    <row r="1113" spans="2:8">
      <c r="B1113" s="236">
        <v>164</v>
      </c>
      <c r="C1113" s="224" t="s">
        <v>1114</v>
      </c>
      <c r="D1113" s="216"/>
      <c r="E1113" s="255" t="s">
        <v>1029</v>
      </c>
      <c r="F1113" s="238">
        <v>1</v>
      </c>
      <c r="G1113" s="239">
        <v>10400588</v>
      </c>
      <c r="H1113" s="240">
        <f t="shared" si="37"/>
        <v>10400588</v>
      </c>
    </row>
    <row r="1114" spans="2:8">
      <c r="B1114" s="214">
        <v>165</v>
      </c>
      <c r="C1114" s="224" t="s">
        <v>1058</v>
      </c>
      <c r="D1114" s="216"/>
      <c r="E1114" s="241" t="s">
        <v>1029</v>
      </c>
      <c r="F1114" s="218">
        <v>1</v>
      </c>
      <c r="G1114" s="219">
        <v>1030176</v>
      </c>
      <c r="H1114" s="220">
        <f t="shared" si="37"/>
        <v>1030176</v>
      </c>
    </row>
    <row r="1115" spans="2:8">
      <c r="B1115" s="214">
        <v>166</v>
      </c>
      <c r="C1115" s="224" t="s">
        <v>1059</v>
      </c>
      <c r="D1115" s="216"/>
      <c r="E1115" s="241" t="s">
        <v>1029</v>
      </c>
      <c r="F1115" s="218">
        <v>1</v>
      </c>
      <c r="G1115" s="219">
        <v>3920000</v>
      </c>
      <c r="H1115" s="220">
        <f t="shared" si="37"/>
        <v>3920000</v>
      </c>
    </row>
    <row r="1116" spans="2:8">
      <c r="B1116" s="227" t="s">
        <v>1115</v>
      </c>
      <c r="C1116" s="228"/>
      <c r="D1116" s="229"/>
      <c r="E1116" s="212"/>
      <c r="F1116" s="212"/>
      <c r="G1116" s="212"/>
      <c r="H1116" s="213"/>
    </row>
    <row r="1117" spans="2:8">
      <c r="B1117" s="214">
        <v>167</v>
      </c>
      <c r="C1117" s="224" t="s">
        <v>1049</v>
      </c>
      <c r="D1117" s="216"/>
      <c r="E1117" s="242" t="s">
        <v>1029</v>
      </c>
      <c r="F1117" s="218">
        <v>1</v>
      </c>
      <c r="G1117" s="219">
        <v>3165400</v>
      </c>
      <c r="H1117" s="220">
        <f t="shared" ref="H1117:H1128" si="38">F1117*G1117</f>
        <v>3165400</v>
      </c>
    </row>
    <row r="1118" spans="2:8">
      <c r="B1118" s="223">
        <v>168</v>
      </c>
      <c r="C1118" s="224" t="s">
        <v>1050</v>
      </c>
      <c r="D1118" s="216"/>
      <c r="E1118" s="241" t="s">
        <v>1029</v>
      </c>
      <c r="F1118" s="225">
        <v>1</v>
      </c>
      <c r="G1118" s="226">
        <v>1157870</v>
      </c>
      <c r="H1118" s="230">
        <f t="shared" si="38"/>
        <v>1157870</v>
      </c>
    </row>
    <row r="1119" spans="2:8">
      <c r="B1119" s="214">
        <v>169</v>
      </c>
      <c r="C1119" s="224" t="s">
        <v>1046</v>
      </c>
      <c r="D1119" s="216"/>
      <c r="E1119" s="241" t="s">
        <v>1029</v>
      </c>
      <c r="F1119" s="218">
        <v>30</v>
      </c>
      <c r="G1119" s="219">
        <v>408170</v>
      </c>
      <c r="H1119" s="220">
        <f t="shared" si="38"/>
        <v>12245100</v>
      </c>
    </row>
    <row r="1120" spans="2:8">
      <c r="B1120" s="223">
        <v>170</v>
      </c>
      <c r="C1120" s="224" t="s">
        <v>1039</v>
      </c>
      <c r="D1120" s="216"/>
      <c r="E1120" s="241" t="s">
        <v>1029</v>
      </c>
      <c r="F1120" s="225">
        <v>1</v>
      </c>
      <c r="G1120" s="226">
        <v>849660</v>
      </c>
      <c r="H1120" s="230">
        <f t="shared" si="38"/>
        <v>849660</v>
      </c>
    </row>
    <row r="1121" spans="2:8">
      <c r="B1121" s="214">
        <v>171</v>
      </c>
      <c r="C1121" s="224" t="s">
        <v>1032</v>
      </c>
      <c r="D1121" s="216"/>
      <c r="E1121" s="241" t="s">
        <v>1029</v>
      </c>
      <c r="F1121" s="218">
        <v>1</v>
      </c>
      <c r="G1121" s="219">
        <v>366520</v>
      </c>
      <c r="H1121" s="220">
        <f t="shared" si="38"/>
        <v>366520</v>
      </c>
    </row>
    <row r="1122" spans="2:8">
      <c r="B1122" s="223">
        <v>172</v>
      </c>
      <c r="C1122" s="224" t="s">
        <v>1116</v>
      </c>
      <c r="D1122" s="216"/>
      <c r="E1122" s="241" t="s">
        <v>1029</v>
      </c>
      <c r="F1122" s="218">
        <v>2</v>
      </c>
      <c r="G1122" s="219">
        <v>3981740</v>
      </c>
      <c r="H1122" s="220">
        <f t="shared" si="38"/>
        <v>7963480</v>
      </c>
    </row>
    <row r="1123" spans="2:8">
      <c r="B1123" s="223">
        <v>173</v>
      </c>
      <c r="C1123" s="224" t="s">
        <v>1117</v>
      </c>
      <c r="D1123" s="216"/>
      <c r="E1123" s="241" t="s">
        <v>1029</v>
      </c>
      <c r="F1123" s="225">
        <v>1</v>
      </c>
      <c r="G1123" s="226">
        <v>15630912</v>
      </c>
      <c r="H1123" s="230">
        <f t="shared" si="38"/>
        <v>15630912</v>
      </c>
    </row>
    <row r="1124" spans="2:8">
      <c r="B1124" s="214">
        <v>174</v>
      </c>
      <c r="C1124" s="224" t="s">
        <v>1118</v>
      </c>
      <c r="D1124" s="216"/>
      <c r="E1124" s="241" t="s">
        <v>1029</v>
      </c>
      <c r="F1124" s="225">
        <v>1</v>
      </c>
      <c r="G1124" s="226">
        <v>2950486</v>
      </c>
      <c r="H1124" s="230">
        <f t="shared" si="38"/>
        <v>2950486</v>
      </c>
    </row>
    <row r="1125" spans="2:8">
      <c r="B1125" s="214">
        <v>175</v>
      </c>
      <c r="C1125" s="224" t="s">
        <v>1118</v>
      </c>
      <c r="D1125" s="216"/>
      <c r="E1125" s="241" t="s">
        <v>1029</v>
      </c>
      <c r="F1125" s="225">
        <v>2</v>
      </c>
      <c r="G1125" s="226">
        <v>8851458</v>
      </c>
      <c r="H1125" s="230">
        <f t="shared" si="38"/>
        <v>17702916</v>
      </c>
    </row>
    <row r="1126" spans="2:8">
      <c r="B1126" s="223">
        <v>176</v>
      </c>
      <c r="C1126" s="224" t="s">
        <v>1119</v>
      </c>
      <c r="D1126" s="216"/>
      <c r="E1126" s="241" t="s">
        <v>1029</v>
      </c>
      <c r="F1126" s="225">
        <v>3</v>
      </c>
      <c r="G1126" s="226">
        <f>$G$971</f>
        <v>58063092.088235229</v>
      </c>
      <c r="H1126" s="230">
        <f t="shared" si="38"/>
        <v>174189276.26470569</v>
      </c>
    </row>
    <row r="1127" spans="2:8">
      <c r="B1127" s="214">
        <v>177</v>
      </c>
      <c r="C1127" s="224" t="s">
        <v>1058</v>
      </c>
      <c r="D1127" s="216"/>
      <c r="E1127" s="242" t="s">
        <v>1029</v>
      </c>
      <c r="F1127" s="225">
        <v>1</v>
      </c>
      <c r="G1127" s="219">
        <v>559776</v>
      </c>
      <c r="H1127" s="220">
        <f t="shared" si="38"/>
        <v>559776</v>
      </c>
    </row>
    <row r="1128" spans="2:8">
      <c r="B1128" s="214">
        <v>178</v>
      </c>
      <c r="C1128" s="224" t="s">
        <v>1059</v>
      </c>
      <c r="D1128" s="216"/>
      <c r="E1128" s="242" t="s">
        <v>1029</v>
      </c>
      <c r="F1128" s="218">
        <v>1</v>
      </c>
      <c r="G1128" s="219">
        <v>3920000</v>
      </c>
      <c r="H1128" s="220">
        <f t="shared" si="38"/>
        <v>3920000</v>
      </c>
    </row>
    <row r="1129" spans="2:8">
      <c r="B1129" s="227" t="s">
        <v>1120</v>
      </c>
      <c r="C1129" s="228"/>
      <c r="D1129" s="229"/>
      <c r="E1129" s="212"/>
      <c r="F1129" s="212"/>
      <c r="G1129" s="212"/>
      <c r="H1129" s="213"/>
    </row>
    <row r="1130" spans="2:8">
      <c r="B1130" s="231">
        <v>179</v>
      </c>
      <c r="C1130" s="224" t="s">
        <v>1049</v>
      </c>
      <c r="D1130" s="216"/>
      <c r="E1130" s="251" t="s">
        <v>1029</v>
      </c>
      <c r="F1130" s="233">
        <v>1</v>
      </c>
      <c r="G1130" s="234">
        <v>3165400</v>
      </c>
      <c r="H1130" s="235">
        <f t="shared" ref="H1130:H1135" si="39">F1130*G1130</f>
        <v>3165400</v>
      </c>
    </row>
    <row r="1131" spans="2:8">
      <c r="B1131" s="236">
        <v>180</v>
      </c>
      <c r="C1131" s="224" t="s">
        <v>1050</v>
      </c>
      <c r="D1131" s="216"/>
      <c r="E1131" s="255" t="s">
        <v>1029</v>
      </c>
      <c r="F1131" s="238">
        <v>1</v>
      </c>
      <c r="G1131" s="239">
        <v>1157870</v>
      </c>
      <c r="H1131" s="240">
        <f t="shared" si="39"/>
        <v>1157870</v>
      </c>
    </row>
    <row r="1132" spans="2:8">
      <c r="B1132" s="223">
        <v>181</v>
      </c>
      <c r="C1132" s="224" t="s">
        <v>1048</v>
      </c>
      <c r="D1132" s="216"/>
      <c r="E1132" s="241" t="s">
        <v>1029</v>
      </c>
      <c r="F1132" s="225">
        <v>30</v>
      </c>
      <c r="G1132" s="226">
        <f>$G$1140</f>
        <v>210000</v>
      </c>
      <c r="H1132" s="230">
        <f t="shared" si="39"/>
        <v>6300000</v>
      </c>
    </row>
    <row r="1133" spans="2:8">
      <c r="B1133" s="223">
        <v>182</v>
      </c>
      <c r="C1133" s="224" t="s">
        <v>1121</v>
      </c>
      <c r="D1133" s="216"/>
      <c r="E1133" s="242" t="s">
        <v>1029</v>
      </c>
      <c r="F1133" s="225">
        <v>6</v>
      </c>
      <c r="G1133" s="226">
        <v>2332400</v>
      </c>
      <c r="H1133" s="230">
        <f t="shared" si="39"/>
        <v>13994400</v>
      </c>
    </row>
    <row r="1134" spans="2:8">
      <c r="B1134" s="214">
        <v>183</v>
      </c>
      <c r="C1134" s="224" t="s">
        <v>1030</v>
      </c>
      <c r="D1134" s="216"/>
      <c r="E1134" s="241" t="s">
        <v>1029</v>
      </c>
      <c r="F1134" s="218">
        <v>5</v>
      </c>
      <c r="G1134" s="219">
        <v>466480</v>
      </c>
      <c r="H1134" s="220">
        <f t="shared" si="39"/>
        <v>2332400</v>
      </c>
    </row>
    <row r="1135" spans="2:8">
      <c r="B1135" s="214">
        <v>184</v>
      </c>
      <c r="C1135" s="224" t="s">
        <v>1058</v>
      </c>
      <c r="D1135" s="216"/>
      <c r="E1135" s="241" t="s">
        <v>1029</v>
      </c>
      <c r="F1135" s="225">
        <v>1</v>
      </c>
      <c r="G1135" s="219">
        <v>559776</v>
      </c>
      <c r="H1135" s="220">
        <f t="shared" si="39"/>
        <v>559776</v>
      </c>
    </row>
    <row r="1136" spans="2:8">
      <c r="B1136" s="256" t="s">
        <v>1122</v>
      </c>
      <c r="C1136" s="257"/>
      <c r="D1136" s="258"/>
      <c r="E1136" s="212"/>
      <c r="F1136" s="212"/>
      <c r="G1136" s="212"/>
      <c r="H1136" s="213"/>
    </row>
    <row r="1137" spans="2:11">
      <c r="B1137" s="214">
        <v>185</v>
      </c>
      <c r="C1137" s="224" t="s">
        <v>1123</v>
      </c>
      <c r="D1137" s="216"/>
      <c r="E1137" s="241" t="s">
        <v>1029</v>
      </c>
      <c r="F1137" s="218">
        <v>6</v>
      </c>
      <c r="G1137" s="226">
        <v>799680</v>
      </c>
      <c r="H1137" s="230">
        <f t="shared" ref="H1137:H1145" si="40">F1137*G1137</f>
        <v>4798080</v>
      </c>
    </row>
    <row r="1138" spans="2:11">
      <c r="B1138" s="223">
        <v>186</v>
      </c>
      <c r="C1138" s="224" t="s">
        <v>1032</v>
      </c>
      <c r="D1138" s="216"/>
      <c r="E1138" s="241" t="s">
        <v>1029</v>
      </c>
      <c r="F1138" s="218">
        <v>6</v>
      </c>
      <c r="G1138" s="219">
        <v>366520</v>
      </c>
      <c r="H1138" s="220">
        <f t="shared" si="40"/>
        <v>2199120</v>
      </c>
    </row>
    <row r="1139" spans="2:11">
      <c r="B1139" s="214">
        <v>187</v>
      </c>
      <c r="C1139" s="224" t="s">
        <v>1124</v>
      </c>
      <c r="D1139" s="216"/>
      <c r="E1139" s="241" t="s">
        <v>1029</v>
      </c>
      <c r="F1139" s="225">
        <v>2</v>
      </c>
      <c r="G1139" s="226">
        <v>1182860</v>
      </c>
      <c r="H1139" s="230">
        <f t="shared" si="40"/>
        <v>2365720</v>
      </c>
    </row>
    <row r="1140" spans="2:11">
      <c r="B1140" s="223">
        <v>188</v>
      </c>
      <c r="C1140" s="224" t="s">
        <v>1048</v>
      </c>
      <c r="D1140" s="216"/>
      <c r="E1140" s="242" t="s">
        <v>1029</v>
      </c>
      <c r="F1140" s="225">
        <v>30</v>
      </c>
      <c r="G1140" s="226">
        <v>210000</v>
      </c>
      <c r="H1140" s="230">
        <f t="shared" si="40"/>
        <v>6300000</v>
      </c>
    </row>
    <row r="1141" spans="2:11">
      <c r="B1141" s="223">
        <v>189</v>
      </c>
      <c r="C1141" s="224" t="s">
        <v>1125</v>
      </c>
      <c r="D1141" s="216"/>
      <c r="E1141" s="242" t="s">
        <v>1029</v>
      </c>
      <c r="F1141" s="225">
        <v>1</v>
      </c>
      <c r="G1141" s="226">
        <v>2499000</v>
      </c>
      <c r="H1141" s="230">
        <f t="shared" si="40"/>
        <v>2499000</v>
      </c>
    </row>
    <row r="1142" spans="2:11">
      <c r="B1142" s="223">
        <v>190</v>
      </c>
      <c r="C1142" s="224" t="s">
        <v>1032</v>
      </c>
      <c r="D1142" s="216"/>
      <c r="E1142" s="241" t="s">
        <v>1029</v>
      </c>
      <c r="F1142" s="225">
        <v>2</v>
      </c>
      <c r="G1142" s="219">
        <v>366520</v>
      </c>
      <c r="H1142" s="220">
        <f t="shared" si="40"/>
        <v>733040</v>
      </c>
    </row>
    <row r="1143" spans="2:11">
      <c r="B1143" s="214">
        <v>191</v>
      </c>
      <c r="C1143" s="224" t="s">
        <v>1126</v>
      </c>
      <c r="D1143" s="216"/>
      <c r="E1143" s="242" t="s">
        <v>1029</v>
      </c>
      <c r="F1143" s="218">
        <v>1</v>
      </c>
      <c r="G1143" s="219">
        <v>54145000</v>
      </c>
      <c r="H1143" s="220">
        <f t="shared" si="40"/>
        <v>54145000</v>
      </c>
    </row>
    <row r="1144" spans="2:11">
      <c r="B1144" s="223">
        <v>192</v>
      </c>
      <c r="C1144" s="224" t="s">
        <v>1127</v>
      </c>
      <c r="D1144" s="216"/>
      <c r="E1144" s="241" t="s">
        <v>1029</v>
      </c>
      <c r="F1144" s="225">
        <v>8</v>
      </c>
      <c r="G1144" s="226">
        <v>349860</v>
      </c>
      <c r="H1144" s="230">
        <f t="shared" si="40"/>
        <v>2798880</v>
      </c>
    </row>
    <row r="1145" spans="2:11">
      <c r="B1145" s="223">
        <v>193</v>
      </c>
      <c r="C1145" s="224" t="s">
        <v>1128</v>
      </c>
      <c r="D1145" s="216"/>
      <c r="E1145" s="241" t="s">
        <v>1029</v>
      </c>
      <c r="F1145" s="225">
        <v>1</v>
      </c>
      <c r="G1145" s="226">
        <v>9500000</v>
      </c>
      <c r="H1145" s="230">
        <f t="shared" si="40"/>
        <v>9500000</v>
      </c>
    </row>
    <row r="1146" spans="2:11" ht="15.75" thickBot="1">
      <c r="B1146" s="259"/>
      <c r="C1146" s="260"/>
      <c r="D1146" s="260"/>
      <c r="E1146" s="260"/>
      <c r="F1146" s="260"/>
      <c r="G1146" s="260"/>
      <c r="H1146" s="261"/>
    </row>
    <row r="1147" spans="2:11" ht="15.75" thickBot="1">
      <c r="B1147" s="262" t="s">
        <v>1129</v>
      </c>
      <c r="C1147" s="263"/>
      <c r="D1147" s="263"/>
      <c r="E1147" s="263"/>
      <c r="F1147" s="263"/>
      <c r="G1147" s="264"/>
      <c r="H1147" s="265">
        <f>SUM(H931:H1145)</f>
        <v>3155862398.7245064</v>
      </c>
      <c r="J1147" s="132"/>
    </row>
    <row r="1148" spans="2:11" ht="15.75" thickBot="1">
      <c r="B1148" s="266" t="s">
        <v>1130</v>
      </c>
      <c r="C1148" s="267"/>
      <c r="D1148" s="267"/>
      <c r="E1148" s="267"/>
      <c r="F1148" s="267"/>
      <c r="G1148" s="268"/>
      <c r="H1148" s="269">
        <f>H1147*0.19</f>
        <v>599613855.75765622</v>
      </c>
    </row>
    <row r="1149" spans="2:11" ht="15.75" thickBot="1">
      <c r="B1149" s="270" t="s">
        <v>1131</v>
      </c>
      <c r="C1149" s="271"/>
      <c r="D1149" s="271"/>
      <c r="E1149" s="271"/>
      <c r="F1149" s="271"/>
      <c r="G1149" s="272"/>
      <c r="H1149" s="273">
        <f>H1148+H1147</f>
        <v>3755476254.4821625</v>
      </c>
    </row>
    <row r="1150" spans="2:11" ht="15.75" thickBot="1">
      <c r="B1150" s="274" t="s">
        <v>1132</v>
      </c>
      <c r="C1150" s="275"/>
      <c r="D1150" s="275"/>
      <c r="E1150" s="275"/>
      <c r="F1150" s="275"/>
      <c r="G1150" s="275"/>
      <c r="H1150" s="276">
        <f>H1149+H922+H924</f>
        <v>21029202844.685284</v>
      </c>
      <c r="J1150" s="132"/>
    </row>
    <row r="1151" spans="2:11">
      <c r="H1151" s="277"/>
      <c r="J1151" s="132"/>
      <c r="K1151" s="132"/>
    </row>
  </sheetData>
  <mergeCells count="235">
    <mergeCell ref="B1149:G1149"/>
    <mergeCell ref="B1150:G1150"/>
    <mergeCell ref="C1143:D1143"/>
    <mergeCell ref="C1144:D1144"/>
    <mergeCell ref="C1145:D1145"/>
    <mergeCell ref="B1146:H1146"/>
    <mergeCell ref="B1147:G1147"/>
    <mergeCell ref="B1148:G1148"/>
    <mergeCell ref="C1137:D1137"/>
    <mergeCell ref="C1138:D1138"/>
    <mergeCell ref="C1139:D1139"/>
    <mergeCell ref="C1140:D1140"/>
    <mergeCell ref="C1141:D1141"/>
    <mergeCell ref="C1142:D1142"/>
    <mergeCell ref="C1131:D1131"/>
    <mergeCell ref="C1132:D1132"/>
    <mergeCell ref="C1133:D1133"/>
    <mergeCell ref="C1134:D1134"/>
    <mergeCell ref="C1135:D1135"/>
    <mergeCell ref="B1136:C1136"/>
    <mergeCell ref="C1125:D1125"/>
    <mergeCell ref="C1126:D1126"/>
    <mergeCell ref="C1127:D1127"/>
    <mergeCell ref="C1128:D1128"/>
    <mergeCell ref="B1129:C1129"/>
    <mergeCell ref="C1130:D1130"/>
    <mergeCell ref="C1119:D1119"/>
    <mergeCell ref="C1120:D1120"/>
    <mergeCell ref="C1121:D1121"/>
    <mergeCell ref="C1122:D1122"/>
    <mergeCell ref="C1123:D1123"/>
    <mergeCell ref="C1124:D1124"/>
    <mergeCell ref="C1113:D1113"/>
    <mergeCell ref="C1114:D1114"/>
    <mergeCell ref="C1115:D1115"/>
    <mergeCell ref="B1116:C1116"/>
    <mergeCell ref="C1117:D1117"/>
    <mergeCell ref="C1118:D1118"/>
    <mergeCell ref="C1107:D1107"/>
    <mergeCell ref="C1108:D1108"/>
    <mergeCell ref="C1109:D1109"/>
    <mergeCell ref="C1110:D1110"/>
    <mergeCell ref="C1111:D1111"/>
    <mergeCell ref="C1112:D1112"/>
    <mergeCell ref="C1101:D1101"/>
    <mergeCell ref="C1102:D1102"/>
    <mergeCell ref="C1103:D1103"/>
    <mergeCell ref="C1104:D1104"/>
    <mergeCell ref="B1105:C1105"/>
    <mergeCell ref="C1106:D1106"/>
    <mergeCell ref="C1095:D1095"/>
    <mergeCell ref="C1096:D1096"/>
    <mergeCell ref="C1097:D1097"/>
    <mergeCell ref="C1098:D1098"/>
    <mergeCell ref="C1099:D1099"/>
    <mergeCell ref="C1100:D1100"/>
    <mergeCell ref="C1089:D1089"/>
    <mergeCell ref="C1090:D1090"/>
    <mergeCell ref="C1091:D1091"/>
    <mergeCell ref="C1092:D1092"/>
    <mergeCell ref="B1093:C1093"/>
    <mergeCell ref="C1094:D1094"/>
    <mergeCell ref="C1083:D1083"/>
    <mergeCell ref="C1084:D1084"/>
    <mergeCell ref="C1085:D1085"/>
    <mergeCell ref="C1086:D1086"/>
    <mergeCell ref="C1087:D1087"/>
    <mergeCell ref="C1088:D1088"/>
    <mergeCell ref="C1077:D1077"/>
    <mergeCell ref="C1078:D1078"/>
    <mergeCell ref="C1079:D1079"/>
    <mergeCell ref="C1080:D1080"/>
    <mergeCell ref="B1081:C1081"/>
    <mergeCell ref="C1082:D1082"/>
    <mergeCell ref="C1071:D1071"/>
    <mergeCell ref="B1072:C1072"/>
    <mergeCell ref="C1073:D1073"/>
    <mergeCell ref="C1074:D1074"/>
    <mergeCell ref="C1075:D1075"/>
    <mergeCell ref="C1076:D1076"/>
    <mergeCell ref="C1065:D1065"/>
    <mergeCell ref="C1066:D1066"/>
    <mergeCell ref="C1067:D1067"/>
    <mergeCell ref="C1068:D1068"/>
    <mergeCell ref="C1069:D1069"/>
    <mergeCell ref="C1070:D1070"/>
    <mergeCell ref="C1059:D1059"/>
    <mergeCell ref="C1060:D1060"/>
    <mergeCell ref="C1061:D1061"/>
    <mergeCell ref="C1062:D1062"/>
    <mergeCell ref="B1063:C1063"/>
    <mergeCell ref="C1064:D1064"/>
    <mergeCell ref="C1053:D1053"/>
    <mergeCell ref="C1054:D1054"/>
    <mergeCell ref="C1055:D1055"/>
    <mergeCell ref="C1056:D1056"/>
    <mergeCell ref="C1057:D1057"/>
    <mergeCell ref="C1058:D1058"/>
    <mergeCell ref="C1047:D1047"/>
    <mergeCell ref="C1048:D1048"/>
    <mergeCell ref="C1049:D1049"/>
    <mergeCell ref="B1050:C1050"/>
    <mergeCell ref="C1051:D1051"/>
    <mergeCell ref="C1052:D1052"/>
    <mergeCell ref="C1041:D1041"/>
    <mergeCell ref="C1042:D1042"/>
    <mergeCell ref="C1043:D1043"/>
    <mergeCell ref="C1044:D1044"/>
    <mergeCell ref="C1045:D1045"/>
    <mergeCell ref="C1046:D1046"/>
    <mergeCell ref="C1035:D1035"/>
    <mergeCell ref="C1036:D1036"/>
    <mergeCell ref="C1037:D1037"/>
    <mergeCell ref="C1038:D1038"/>
    <mergeCell ref="B1039:C1039"/>
    <mergeCell ref="C1040:D1040"/>
    <mergeCell ref="C1029:D1029"/>
    <mergeCell ref="B1030:C1030"/>
    <mergeCell ref="C1031:D1031"/>
    <mergeCell ref="C1032:D1032"/>
    <mergeCell ref="C1033:D1033"/>
    <mergeCell ref="C1034:D1034"/>
    <mergeCell ref="C1023:D1023"/>
    <mergeCell ref="C1024:D1024"/>
    <mergeCell ref="C1025:D1025"/>
    <mergeCell ref="C1026:D1026"/>
    <mergeCell ref="C1027:D1027"/>
    <mergeCell ref="C1028:D1028"/>
    <mergeCell ref="C1017:D1017"/>
    <mergeCell ref="C1018:D1018"/>
    <mergeCell ref="B1019:C1019"/>
    <mergeCell ref="C1020:D1020"/>
    <mergeCell ref="C1021:D1021"/>
    <mergeCell ref="C1022:D1022"/>
    <mergeCell ref="C1011:D1011"/>
    <mergeCell ref="C1012:D1012"/>
    <mergeCell ref="C1013:D1013"/>
    <mergeCell ref="C1014:D1014"/>
    <mergeCell ref="C1015:D1015"/>
    <mergeCell ref="C1016:D1016"/>
    <mergeCell ref="C1005:D1005"/>
    <mergeCell ref="C1006:D1006"/>
    <mergeCell ref="B1007:C1007"/>
    <mergeCell ref="C1008:D1008"/>
    <mergeCell ref="C1009:D1009"/>
    <mergeCell ref="C1010:D1010"/>
    <mergeCell ref="C999:D999"/>
    <mergeCell ref="C1000:D1000"/>
    <mergeCell ref="C1001:D1001"/>
    <mergeCell ref="C1002:D1002"/>
    <mergeCell ref="C1003:D1003"/>
    <mergeCell ref="C1004:D1004"/>
    <mergeCell ref="C993:D993"/>
    <mergeCell ref="C994:D994"/>
    <mergeCell ref="C995:D995"/>
    <mergeCell ref="C996:D996"/>
    <mergeCell ref="C997:D997"/>
    <mergeCell ref="B998:C998"/>
    <mergeCell ref="C987:D987"/>
    <mergeCell ref="C988:D988"/>
    <mergeCell ref="B989:C989"/>
    <mergeCell ref="C990:D990"/>
    <mergeCell ref="C991:D991"/>
    <mergeCell ref="C992:D992"/>
    <mergeCell ref="C981:D981"/>
    <mergeCell ref="C982:D982"/>
    <mergeCell ref="C983:D983"/>
    <mergeCell ref="C984:D984"/>
    <mergeCell ref="C985:D985"/>
    <mergeCell ref="C986:D986"/>
    <mergeCell ref="C975:D975"/>
    <mergeCell ref="C976:D976"/>
    <mergeCell ref="C977:D977"/>
    <mergeCell ref="B978:C978"/>
    <mergeCell ref="C979:D979"/>
    <mergeCell ref="C980:D980"/>
    <mergeCell ref="C969:D969"/>
    <mergeCell ref="C970:D970"/>
    <mergeCell ref="C971:D971"/>
    <mergeCell ref="C972:D972"/>
    <mergeCell ref="C973:D973"/>
    <mergeCell ref="C974:D974"/>
    <mergeCell ref="C963:D963"/>
    <mergeCell ref="C964:D964"/>
    <mergeCell ref="B965:C965"/>
    <mergeCell ref="C966:D966"/>
    <mergeCell ref="C967:D967"/>
    <mergeCell ref="C968:D968"/>
    <mergeCell ref="C957:D957"/>
    <mergeCell ref="C958:D958"/>
    <mergeCell ref="C959:D959"/>
    <mergeCell ref="C960:D960"/>
    <mergeCell ref="C961:D961"/>
    <mergeCell ref="C962:D962"/>
    <mergeCell ref="C951:D951"/>
    <mergeCell ref="C952:D952"/>
    <mergeCell ref="C953:D953"/>
    <mergeCell ref="C954:D954"/>
    <mergeCell ref="C955:D955"/>
    <mergeCell ref="C956:D956"/>
    <mergeCell ref="C945:D945"/>
    <mergeCell ref="C946:D946"/>
    <mergeCell ref="C947:D947"/>
    <mergeCell ref="B948:C948"/>
    <mergeCell ref="C949:D949"/>
    <mergeCell ref="C950:D950"/>
    <mergeCell ref="C939:D939"/>
    <mergeCell ref="C940:D940"/>
    <mergeCell ref="C941:D941"/>
    <mergeCell ref="C942:D942"/>
    <mergeCell ref="C943:D943"/>
    <mergeCell ref="C944:D944"/>
    <mergeCell ref="C933:D933"/>
    <mergeCell ref="C934:D934"/>
    <mergeCell ref="B935:C935"/>
    <mergeCell ref="C936:D936"/>
    <mergeCell ref="C937:D937"/>
    <mergeCell ref="B938:C938"/>
    <mergeCell ref="B928:H928"/>
    <mergeCell ref="C929:D929"/>
    <mergeCell ref="B930:C930"/>
    <mergeCell ref="C931:D931"/>
    <mergeCell ref="C932:D932"/>
    <mergeCell ref="B22:H22"/>
    <mergeCell ref="B23:B24"/>
    <mergeCell ref="C23:C24"/>
    <mergeCell ref="D23:D24"/>
    <mergeCell ref="E23:H23"/>
    <mergeCell ref="B924:G924"/>
    <mergeCell ref="B4:E4"/>
    <mergeCell ref="F4:H5"/>
    <mergeCell ref="B5:E7"/>
    <mergeCell ref="B18:E18"/>
    <mergeCell ref="F18:H19"/>
    <mergeCell ref="B19:E21"/>
  </mergeCells>
  <hyperlinks>
    <hyperlink ref="F74" location="cd3.1.1" display="cd3.1.1" xr:uid="{8ADC1D32-A8DC-45D8-A013-6D3F965DE105}"/>
    <hyperlink ref="F73" location="cd3.1.1" display="cd3.1.1" xr:uid="{2C8C4794-22AE-4853-A523-BF90CBCEB9D5}"/>
    <hyperlink ref="F76:F78" location="cd3.2.1" display="cd3.2.1" xr:uid="{83563F53-CAEA-4110-A1FB-8C468E93BD6F}"/>
    <hyperlink ref="F80:F82" location="cd3.3.1" display="cd3.3.1" xr:uid="{C11208FC-4EB8-4375-B323-3C8E0C316BB0}"/>
    <hyperlink ref="F84:F85" location="cd3.4.1" display="cd3.4.1" xr:uid="{28A28898-EE47-445C-8330-00F3A451B5FB}"/>
    <hyperlink ref="F86:F88" location="cd3.4.2" display="cd3.4.2" xr:uid="{DF9F59A7-F969-4A82-A2FB-5B7BA8C3FA17}"/>
    <hyperlink ref="F90:F91" location="cd3.4.3" display="cd3.4.3" xr:uid="{BA3DD1E1-803B-41D2-B733-126EFA7C8BCA}"/>
    <hyperlink ref="F89" location="cd3.4.3" display="cd3.4.3" xr:uid="{1C2A4B6C-1C71-4648-A002-11BC703F238D}"/>
    <hyperlink ref="F92" location="cd3.4.4" display="cd3.4.4" xr:uid="{15384332-8A15-4E41-8916-0C1C136B579E}"/>
    <hyperlink ref="F94" location="CD3.5.3" display="CD3.5.3" xr:uid="{DFF02C22-FDE4-4A2E-820F-4F26B75EE7FD}"/>
    <hyperlink ref="F97" location="CD4.1.1" display="CD4.1.1" xr:uid="{DB9627C6-A87D-4FA8-9A62-E2584E8514A4}"/>
    <hyperlink ref="F98:F99" location="CD4.1.1" display="CD4.1.1" xr:uid="{9C297323-E59A-4D01-A678-15B3400D71E3}"/>
    <hyperlink ref="F103" location="cd5.1.1" display="cd5.1.1" xr:uid="{19884FD0-F92E-453B-A00C-6D9A358D0FF1}"/>
    <hyperlink ref="F104" location="cd5.1.1" display="cd5.1.1" xr:uid="{FF03CCD9-3116-453E-B025-EC7A45424F8D}"/>
    <hyperlink ref="F108:F110" location="cd5.1.1" display="cd5.1.1" xr:uid="{E10CC002-C365-45BF-8EDB-9E133076E5AC}"/>
    <hyperlink ref="F115:F118" location="cd5.1.1" display="cd5.1.1" xr:uid="{8036B5ED-3C41-4961-B50F-304BB6A97882}"/>
    <hyperlink ref="F122:F125" location="cd5.1.1" display="cd5.1.1" xr:uid="{C6C7106B-6EB9-4CFE-B616-8821ECD0DE17}"/>
    <hyperlink ref="F105" location="cd5.1.2" display="cd5.1.2" xr:uid="{EF95BF04-EDE5-41B5-A4CF-F7D55110BB3F}"/>
    <hyperlink ref="F111" location="cd5.1.2" display="cd5.1.2" xr:uid="{9AA6FB36-AB74-4451-B2DF-3EC245D2633A}"/>
    <hyperlink ref="F119" location="cd5.1.2" display="cd5.1.2" xr:uid="{5CF8A044-A86F-468D-9C10-D25EF6B88D6C}"/>
    <hyperlink ref="F126" location="cd5.1.2" display="cd5.1.2" xr:uid="{6C8742A6-12CA-4907-A05A-65B2F96D6023}"/>
    <hyperlink ref="F112" location="cd5.1.3" display="cd5.1.3" xr:uid="{E4644046-3221-4C5B-9CD8-100D5C22C580}"/>
    <hyperlink ref="F912" location="cd22.1.1" display="cd22.1.1" xr:uid="{2843FB64-CFEF-4A27-B469-EC678D90CAB7}"/>
    <hyperlink ref="F913" location="cd22.1.2" display="cd22.1.2" xr:uid="{72F93683-9570-414E-8998-E4BDB6056186}"/>
    <hyperlink ref="F915" location="cd22.2.1" display="cd22.2.1" xr:uid="{2D25C541-105D-48C4-B6DF-95F723D46E4B}"/>
    <hyperlink ref="F894" location="cd21.1.2" display="cd21.1.2" xr:uid="{F5B678FE-D90E-44C7-9001-D5C95901D803}"/>
    <hyperlink ref="F896" location="cd22.2.1" display="cd22.2.1" xr:uid="{78D9056A-8CAB-427A-9203-F72F79E557AD}"/>
    <hyperlink ref="F897" location="cd21.2.2" display="cd21.2.2" xr:uid="{4260E7DD-D101-41EB-981F-CD866F9615A4}"/>
    <hyperlink ref="F898" location="cd21.2.3" display="cd21.2.3" xr:uid="{7EE6CC10-E325-45C0-973A-BA2703EA0F00}"/>
    <hyperlink ref="F899" location="cd21.2.4" display="cd21.2.4" xr:uid="{43E02C69-F979-46DC-A048-B9E5455E7B48}"/>
    <hyperlink ref="F900" location="cd21.2.5" display="cd21.2.5" xr:uid="{39308F5F-B96B-4EFC-8EED-C7F0C4EEFF43}"/>
    <hyperlink ref="F901" location="cd21.2.6" display="cd21.2.6" xr:uid="{217A0D41-FE9F-44B1-A535-436F7A568846}"/>
    <hyperlink ref="F903" location="cd21.3.1" display="cd21.3.1" xr:uid="{4E720B2C-7CDF-4CB3-B8C1-A4C050FCA903}"/>
    <hyperlink ref="F904" location="cd21.3.2" display="cd21.3.2" xr:uid="{40960A5E-DA67-4125-A8FA-0BCA804FA5A6}"/>
    <hyperlink ref="F905" location="cd21.3.3" display="cd21.3.3" xr:uid="{220AD2EC-B5DA-48BB-A50D-9CB1526A7608}"/>
    <hyperlink ref="F907" location="cd21.4.1" display="cd21.4.1" xr:uid="{2A2D7661-A66D-4408-B5C9-9643FE8A2DB9}"/>
    <hyperlink ref="F908" location="cd21.4.2" display="cd21.4.2" xr:uid="{43F2F440-5FB8-407F-8E07-40D3A38736A4}"/>
    <hyperlink ref="F909" location="cd21.4.3" display="cd21.4.3" xr:uid="{BD48DA90-BB44-4819-BB8E-32CEE9B4918D}"/>
    <hyperlink ref="F891" location="cd20.1.1" display="cd20.1.1" xr:uid="{B07165D7-18C5-49DC-B8CD-0FABE4570FC8}"/>
    <hyperlink ref="F871" location="cd19.1.1" display="cd19.1.1" xr:uid="{D3DFB550-471C-4ACC-B178-DB4B320F4604}"/>
    <hyperlink ref="F872:F873" location="cd19.1.1" display="cd19.1.1" xr:uid="{0DB7A02D-CE12-4BA5-B9F5-D1E257186F15}"/>
    <hyperlink ref="F875:F878" location="cd19.1.1" display="cd19.1.1" xr:uid="{EEB0ACE5-1815-4C6B-BA92-3870B54DE374}"/>
    <hyperlink ref="F880:F883" location="cd19.1.1" display="cd19.1.1" xr:uid="{3D13B4BA-1033-443B-851F-63A3FF4FA226}"/>
    <hyperlink ref="F885:F888" location="cd19.1.1" display="cd19.1.1" xr:uid="{8BC52E9C-D513-4CA5-94CB-7CE9B49138E4}"/>
    <hyperlink ref="F832" location="cd18.1.1" display="cd18.1.1" xr:uid="{2E0C7C1A-539D-468C-923A-531AA874F2BE}"/>
    <hyperlink ref="F833" location="cd18.1.2" display="cd18.1.2" xr:uid="{1A5BE360-9898-4BB7-93FC-05025A0C6E5C}"/>
    <hyperlink ref="F834" location="cd18.1.3" display="cd18.1.3" xr:uid="{ACFE77FA-A1A0-4340-849D-11E2229EA156}"/>
    <hyperlink ref="F835" location="cd18.1.4" display="cd18.1.4" xr:uid="{AA021127-3F17-45C3-8419-CFD42A1F88D9}"/>
    <hyperlink ref="F836" location="cd18.1.5" display="cd18.1.5" xr:uid="{274F130E-0EE7-4029-9B04-E1A722819AFB}"/>
    <hyperlink ref="F854" location="cd18.1.4" display="cd18.1.4" xr:uid="{037F139C-610F-4AD0-A5A4-74E81B9774C4}"/>
    <hyperlink ref="F855" location="cd18.1.5" display="cd18.1.5" xr:uid="{5BBFC6E9-EAB3-4B9D-A58C-2672E15D976C}"/>
    <hyperlink ref="F853" location="cd18.1.1" display="cd18.1.1" xr:uid="{889E132F-EFC2-42DA-802F-A7DEBD53D75A}"/>
    <hyperlink ref="F838" location="cd18.2.1" display="cd18.2.1" xr:uid="{B6FF90CC-B892-4A11-9C4E-B6F4FD5605E7}"/>
    <hyperlink ref="F839" location="cd18.2.2" display="cd18.2.2" xr:uid="{FAF8C6F2-F88F-4562-826C-2CE278BF51B5}"/>
    <hyperlink ref="F840" location="cd18.2.3" display="cd18.2.3" xr:uid="{AD1A90D2-3FD5-4A3A-9FBC-7A01AF726A6A}"/>
    <hyperlink ref="F841" location="cd18.2.4" display="cd18.2.4" xr:uid="{1CFF424E-3736-4EC1-8DAC-1E7E2F97D40A}"/>
    <hyperlink ref="F842" location="cd18.2.5" display="cd18.2.5" xr:uid="{787502DD-5184-4959-AAC0-F6A6D52DC36B}"/>
    <hyperlink ref="F843" location="cd18.2.6" display="cd18.2.6" xr:uid="{8BB33AA7-6D3A-45C7-A663-F3D29547C47E}"/>
    <hyperlink ref="F844" location="cd18.2.7" display="cd18.2.7" xr:uid="{15497808-81F6-4C62-9FB4-847AD9F950DB}"/>
    <hyperlink ref="F857" location="cd18.2.1" display="cd18.2.1" xr:uid="{1940891B-FDA9-4D4A-995E-1D43CC602764}"/>
    <hyperlink ref="F858" location="cd18.2.2" display="cd18.2.2" xr:uid="{EC1EF425-A42A-45BC-B02C-1BF94958F8B1}"/>
    <hyperlink ref="F859" location="cd18.2.3" display="cd18.2.3" xr:uid="{56595943-D89D-4909-A86C-A8679BCCF9A7}"/>
    <hyperlink ref="F860" location="cd18.2.4" display="cd18.2.4" xr:uid="{E73D9DC5-030F-48A8-A4B1-ACCF20E924A4}"/>
    <hyperlink ref="F861" location="cd18.2.5" display="cd18.2.5" xr:uid="{0E8A60AB-7009-4A7C-83B2-86AE90F68FF9}"/>
    <hyperlink ref="F862" location="cd18.2.7" display="cd18.2.7" xr:uid="{3EA0A056-6122-4D7E-BA40-FF73A170B4FD}"/>
    <hyperlink ref="F864" location="cd18.3.1" display="cd18.3.1" xr:uid="{692074FD-E649-492A-97FA-EB9946A710FB}"/>
    <hyperlink ref="F846" location="cd18.3.1" display="cd18.3.1" xr:uid="{9995A7EA-25E7-40B5-93FB-6BE989B519AF}"/>
    <hyperlink ref="F848" location="cd18.4.1" display="cd18.4.1" xr:uid="{B98B5179-63DC-4CD5-AA9F-82F1630B8B5A}"/>
    <hyperlink ref="F849" location="cd18.4.2" display="cd18.4.2" xr:uid="{A9CA8AEB-C836-4F82-81AF-AC08E5441BDA}"/>
    <hyperlink ref="F866" location="cd18.4.1" display="cd18.4.1" xr:uid="{6564750D-56E4-47A0-8463-FE36F7A5D983}"/>
    <hyperlink ref="F867" location="cd18.4.2" display="cd18.4.2" xr:uid="{A5BE647B-E0E8-422F-9ED0-7713F7A41849}"/>
    <hyperlink ref="F782" location="cd17.2.1" display="cd17.2.1" xr:uid="{0E3269E9-D465-4F6F-9635-ABA22DF47054}"/>
    <hyperlink ref="F785" location="cd17.2.1" display="cd17.2.1" xr:uid="{7D25C692-E240-45CB-8A49-D48A01628B93}"/>
    <hyperlink ref="F791" location="cd17.2.1" display="cd17.2.1" xr:uid="{895ED20C-F81A-4918-ADC3-E90C3AEFC00D}"/>
    <hyperlink ref="F796" location="cd17.2.1" display="cd17.2.1" xr:uid="{A01B0535-BF21-407E-9EEA-EB2CE1586A00}"/>
    <hyperlink ref="F801" location="cd17.2.1" display="cd17.2.1" xr:uid="{EEF2FF02-F0BA-4CC0-B643-C9E86495B6E7}"/>
    <hyperlink ref="F807" location="cd17.2.1" display="cd17.2.1" xr:uid="{8755D7C7-CD41-4B4A-A8A3-09540E06FF21}"/>
    <hyperlink ref="F812" location="cd17.2.1" display="cd17.2.1" xr:uid="{9EC49C06-9113-424D-9304-E7720EDA03EF}"/>
    <hyperlink ref="F817" location="cd17.2.1" display="cd17.2.1" xr:uid="{ACF95BFD-C111-4908-9379-B76FC3441EB1}"/>
    <hyperlink ref="F789" location="cd17.1.1" display="cd17.1.1" xr:uid="{F1D8950B-39F1-4D53-85EC-B113D00851D3}"/>
    <hyperlink ref="F794" location="cd17.1.1" display="cd17.1.1" xr:uid="{215ADE26-E95F-42DB-BCCA-18E55E583A6E}"/>
    <hyperlink ref="F805" location="cd17.1.1" display="cd17.1.1" xr:uid="{8F51D3CF-5693-4A37-87E5-54D8C953781F}"/>
    <hyperlink ref="F810" location="cd17.1.1" display="cd17.1.1" xr:uid="{AC9DC3D9-7ACF-4B78-8729-91052485E0D9}"/>
    <hyperlink ref="F815" location="cd17.1.1" display="cd17.1.1" xr:uid="{F6159D4A-9E55-4AA7-9043-752D07B41689}"/>
    <hyperlink ref="F821" location="cd17.1.1" display="cd17.1.1" xr:uid="{89442D91-5F2B-4285-A480-82850B24AF27}"/>
    <hyperlink ref="F824" location="cd17.1.1" display="cd17.1.1" xr:uid="{B4A55428-8B95-47E3-9433-98A22B02020F}"/>
    <hyperlink ref="F827" location="cd17.1.1" display="cd17.1.1" xr:uid="{8517F634-A1A9-4BD0-973E-A13026E27165}"/>
    <hyperlink ref="F799" location="cd17.1.1" display="cd17.1.1" xr:uid="{D379DC42-7293-49C3-AA18-E4C34FCADE93}"/>
    <hyperlink ref="F771" location="cd16.1.1" display="cd16.1.1" xr:uid="{FB45CD4E-2706-436A-9D15-7F4B0C17ED9C}"/>
    <hyperlink ref="F773" location="cd16.2.1" display="cd16.2.1" xr:uid="{5A28AADA-6326-4F70-A9B6-111938268705}"/>
    <hyperlink ref="F774" location="cd16.2.2" display="cd16.2.2" xr:uid="{62D02C10-830D-4143-AB80-FAA088E8A0AA}"/>
    <hyperlink ref="F776" location="cd16.3.1" display="cd16.3.1" xr:uid="{9D892148-FAAE-4D82-9A51-706B0AA085B4}"/>
    <hyperlink ref="F777" location="cd16.3.2" display="cd16.3.2" xr:uid="{7EA4EC42-6357-4512-B7F0-B473B2CEF247}"/>
    <hyperlink ref="F662" location="cd14.1.1" display="cd14.1.1" xr:uid="{9D166A40-9630-4D8D-918C-7C2A2E497134}"/>
    <hyperlink ref="F663:F665" location="cd14.1.1" display="cd14.1.1" xr:uid="{4201A873-C6CD-4783-ACD7-7A0E3480793E}"/>
    <hyperlink ref="F667" location="cd14.2.1" display="cd14.2.1" xr:uid="{05ECAFB5-8F1C-4677-A33B-D35277ADD8B3}"/>
    <hyperlink ref="F669" location="cd14.3.1" display="cd14.3.1" xr:uid="{126E4F52-8035-494B-8659-0F85D91AC78F}"/>
    <hyperlink ref="F614" location="cd13.1.1" display="cd13.1.1" xr:uid="{A8F4A118-4B8C-4D0C-BDB3-E279E32F7254}"/>
    <hyperlink ref="F622" location="cd13.1.1" display="cd13.1.1" xr:uid="{8EAFE225-4FCF-4C2C-BB42-1051C9EDF578}"/>
    <hyperlink ref="F631" location="cd13.1.1" display="cd13.1.1" xr:uid="{2B27CFE6-5BAB-4753-A536-12678FA8A1D2}"/>
    <hyperlink ref="F640" location="cd13.1.1" display="cd13.1.1" xr:uid="{EA1FE8A0-D1BB-4969-B4A6-2BBCA9B878F2}"/>
    <hyperlink ref="F617" location="cd13.2.1" display="cd13.2.1" xr:uid="{034E6DC4-6AD4-4D5D-81F7-00609251F06C}"/>
    <hyperlink ref="F618:F619" location="cd13.2.1" display="cd13.2.1" xr:uid="{99A649C4-8A5E-4F1F-AC5E-525D90A0BA93}"/>
    <hyperlink ref="F625:F628" location="cd13.2.1" display="cd13.2.1" xr:uid="{B98A2560-4C1A-47B5-8DDD-AEAF6131C2B8}"/>
    <hyperlink ref="F634:F637" location="cd13.2.1" display="cd13.2.1" xr:uid="{24F8285F-8582-4A36-85CE-43EAB0148853}"/>
    <hyperlink ref="F643:F645" location="cd13.2.1" display="cd13.2.1" xr:uid="{AB470F97-C873-4F4B-970B-7FD53BBCFF08}"/>
    <hyperlink ref="F653:F655" location="cd13.2.1" display="cd13.2.1" xr:uid="{4A6AEBEE-AE72-4588-8EA3-01C99B1A204E}"/>
    <hyperlink ref="F647" location="cd13.3.1" display="cd13.3.1" xr:uid="{C7E985C0-F3F1-4619-B5EB-757E02FB377B}"/>
    <hyperlink ref="F648" location="cd13.3.2" display="cd13.3.2" xr:uid="{DC2E17E5-9ECD-4C37-8F3D-F87CBBA76C47}"/>
    <hyperlink ref="F605" location="cd12.1.1" display="cd12.1.1" xr:uid="{40A3DB0E-5775-427A-AD4D-140E630345AA}"/>
    <hyperlink ref="F610" location="cd12.1.1" display="cd12.1.1" xr:uid="{5778FD5C-8E1A-4EBE-AE9E-33B2E87D1B18}"/>
    <hyperlink ref="F607" location="cd12.2.1" display="cd12.2.1" xr:uid="{1FD2DCA0-F003-4CCF-948B-021EECA346C3}"/>
    <hyperlink ref="F580" location="cd11.1.1" display="cd11.1.1" xr:uid="{CDF0B0D4-1FB5-46E8-B129-22A694EA32B5}"/>
    <hyperlink ref="F581:F582" location="cd11.1.1" display="cd11.1.1" xr:uid="{7DEBEC94-4BE1-4A99-AFB9-0F667CB3727C}"/>
    <hyperlink ref="F584:F587" location="cd11.1.1" display="cd11.1.1" xr:uid="{6EC09E47-C038-4C8F-AB72-7BF59405E7A4}"/>
    <hyperlink ref="F589:F592" location="cd11.1.1" display="cd11.1.1" xr:uid="{8FC83384-5098-4163-B643-069E4E35B389}"/>
    <hyperlink ref="F594:F597" location="cd11.1.1" display="cd11.1.1" xr:uid="{FFA98367-F8D0-413A-BF1F-2AAFAA2BAD76}"/>
    <hyperlink ref="F599" location="cd11.2.1" display="cd11.2.1" xr:uid="{B1676BC3-98F8-4FB5-A6F4-04CD45FE293F}"/>
    <hyperlink ref="F565" location="cd10.1.1" display="cd10.1.1" xr:uid="{CDFF241A-BA2A-42BC-BEED-E85E8F72F739}"/>
    <hyperlink ref="F566:F568" location="cd10.1.1" display="cd10.1.1" xr:uid="{AF5910C0-82FF-4328-B265-5247680C5F5F}"/>
    <hyperlink ref="F569" location="cd10.1.2" display="cd10.1.2" xr:uid="{CB95D9B6-12C7-4D4E-8DC7-B1D2FA50B21F}"/>
    <hyperlink ref="F570:F572" location="cd10.1.2" display="cd10.1.2" xr:uid="{76CFAF31-6BA1-48E3-B14B-8E9D61222750}"/>
    <hyperlink ref="F573" location="cd10.1.3" display="cd10.1.3" xr:uid="{6BE0216B-3EAB-44C8-B593-FEC362F5D5C5}"/>
    <hyperlink ref="F574:F576" location="cd10.1.3" display="cd10.1.3" xr:uid="{B490503B-7C0C-4AA5-B1C1-D8B44F88F61B}"/>
    <hyperlink ref="F538" location="cd9.1.1" display="cd9.1.1" xr:uid="{EE779E9B-FF8D-4716-A64E-8DE8A2531BB5}"/>
    <hyperlink ref="F539" location="cd9.1.1" display="cd9.1.1" xr:uid="{11DC3003-9A3C-40A8-A2D0-CE19B9B95929}"/>
    <hyperlink ref="F543:F545" location="cd9.1.1" display="cd9.1.1" xr:uid="{214065AA-246D-4479-8382-58932D8F0A0F}"/>
    <hyperlink ref="F550:F552" location="cd9.1.1" display="cd9.1.1" xr:uid="{62DC0C22-2E04-48C7-B21F-DC3D3CC50860}"/>
    <hyperlink ref="F557:F559" location="cd9.1.1" display="cd9.1.1" xr:uid="{295B0FA5-BDDD-4149-B87B-C6227A00DF7F}"/>
    <hyperlink ref="F540" location="cd9.1.3" display="cd9.1.3" xr:uid="{DFA86759-2743-437C-BF4A-26D67565179C}"/>
    <hyperlink ref="F541" location="cd9.1.3" display="cd9.1.3" xr:uid="{AC237AB1-852C-4349-B7EA-E30A8F720D5E}"/>
    <hyperlink ref="F546:F548" location="cd9.1.3" display="cd9.1.3" xr:uid="{AB5BC0C0-0060-4703-96CA-2412F2F712B0}"/>
    <hyperlink ref="F553:F555" location="cd9.1.3" display="cd9.1.3" xr:uid="{3756294F-9D24-4E65-8964-ECD01244F99F}"/>
    <hyperlink ref="F560:F562" location="cd9.1.3" display="cd9.1.3" xr:uid="{D652B709-705F-40BE-A687-74F10C63717F}"/>
    <hyperlink ref="F674" location="cd15.1.1" display="cd15.1.1" xr:uid="{C618BBA7-E732-4C05-AB85-EF83306FDFC8}"/>
    <hyperlink ref="F681" location="cd15.1.1" display="cd15.1.1" xr:uid="{DBE675AF-138B-471B-86F7-4EA696222688}"/>
    <hyperlink ref="F687" location="cd15.1.1" display="cd15.1.1" xr:uid="{8B94AC7C-49C5-43D4-9EE5-C624F485630A}"/>
    <hyperlink ref="F697" location="cd15.1.1" display="cd15.1.1" xr:uid="{D723DC98-4268-49D1-8EB4-81D78A2E7767}"/>
    <hyperlink ref="F703" location="cd15.1.1" display="cd15.1.1" xr:uid="{17C2D112-6D16-4F0A-9358-27D8ADB024D3}"/>
    <hyperlink ref="F709" location="cd15.1.1" display="cd15.1.1" xr:uid="{6C57262C-4FB9-4312-83DF-CE424B213F50}"/>
    <hyperlink ref="F717" location="cd15.1.1" display="cd15.1.1" xr:uid="{833D672A-2C0D-49BE-B89C-FE3EDC9B78D6}"/>
    <hyperlink ref="F723" location="cd15.1.1" display="cd15.1.1" xr:uid="{77919BBA-1CE1-4756-8FB0-757B1BE87FD7}"/>
    <hyperlink ref="F729" location="cd15.1.1" display="cd15.1.1" xr:uid="{AB9115FF-1B1E-4502-B6EE-92015838E3A5}"/>
    <hyperlink ref="F735" location="cd15.1.1" display="cd15.1.1" xr:uid="{D741ADF7-E309-4FDE-A34B-7AEAB1374689}"/>
    <hyperlink ref="F742" location="cd15.1.1" display="cd15.1.1" xr:uid="{0421C97A-8AB0-4E00-A615-D198E577B778}"/>
    <hyperlink ref="F746" location="cd15.1.1" display="cd15.1.1" xr:uid="{35D2C0A1-011B-4C01-A13A-91F4A3C03CCF}"/>
    <hyperlink ref="F753" location="cd15.1.1" display="cd15.1.1" xr:uid="{4734D2CB-AAA9-4B5F-B57D-9F4304C02DAC}"/>
    <hyperlink ref="F760" location="cd15.1.1" display="cd15.1.1" xr:uid="{63E6B7DC-2DD3-48A1-B0DA-85EE852D2F02}"/>
    <hyperlink ref="F676" location="cd15.2.5" display="cd15.2.5" xr:uid="{7F7C0651-7C08-49DE-92A1-7E5E40BE9673}"/>
    <hyperlink ref="F677" location="cd15.2.6" display="cd15.2.6" xr:uid="{12C30119-2D55-4C76-BF15-0B73CCC0DEB3}"/>
    <hyperlink ref="F684" location="cd15.2.6" display="cd15.2.6" xr:uid="{E0557098-1A1F-40B2-95F3-07AE35C948C0}"/>
    <hyperlink ref="F690" location="cd15.2.6" display="cd15.2.6" xr:uid="{022BBA43-4CE0-4A4A-B7C8-90C41F2D9C09}"/>
    <hyperlink ref="F694" location="cd15.2.6" display="cd15.2.6" xr:uid="{5C8E9192-AB66-4104-8D35-1F953C53A573}"/>
    <hyperlink ref="F678" location="cd15.2.7" display="cd15.2.7" xr:uid="{631EB81B-CBA7-4D3E-904E-885DB97EFF73}"/>
    <hyperlink ref="F683" location="cd15.2.4" display="cd15.2.4" xr:uid="{2C756628-D83C-43D9-B881-D5DE11BB7FED}"/>
    <hyperlink ref="F689" location="cd15.2.4" display="cd15.2.4" xr:uid="{F30230AF-80AD-4AF0-BBE0-553E96A9638E}"/>
    <hyperlink ref="F700" location="cd15.2.4" display="cd15.2.4" xr:uid="{DFF300E3-3976-431E-AFC0-F541079E73EB}"/>
    <hyperlink ref="F706" location="cd15.2.4" display="cd15.2.4" xr:uid="{8BD14852-B014-4D24-88BB-D05FDB6F64F5}"/>
    <hyperlink ref="F713" location="cd15.2.4" display="cd15.2.4" xr:uid="{0D90380A-ECC8-45AD-84C6-2DA70412C69B}"/>
    <hyperlink ref="F726" location="cd15.2.4" display="cd15.2.4" xr:uid="{2686D125-7A2D-46B4-8B16-D2631C43E1C2}"/>
    <hyperlink ref="F732" location="cd15.2.4" display="cd15.2.4" xr:uid="{7328A271-0016-4176-B5BB-C810A8BA0991}"/>
    <hyperlink ref="F738" location="cd15.2.4" display="cd15.2.4" xr:uid="{6483F7A1-9A65-4DD5-8829-A0F59FE027DB}"/>
    <hyperlink ref="F750" location="cd15.2.4" display="cd15.2.4" xr:uid="{1F0747BE-3842-45F3-87AC-3045032EFDE6}"/>
    <hyperlink ref="F757" location="cd15.2.4" display="cd15.2.4" xr:uid="{036350C9-116A-44E3-B899-6921D700E8BC}"/>
    <hyperlink ref="F764" location="cd15.2.4" display="cd15.2.4" xr:uid="{5E71D401-F8AD-4AD5-8C24-EB85BD45C019}"/>
    <hyperlink ref="F699" location="cd15.2.3" display="cd15.2.3" xr:uid="{07FA83B2-3A16-4917-B031-BD05F065D66A}"/>
    <hyperlink ref="F705" location="cd15.2.3" display="cd15.2.3" xr:uid="{BE54F725-6F90-4794-8B26-D25069A96881}"/>
    <hyperlink ref="F712" location="cd15.2.3" display="cd15.2.3" xr:uid="{422AAA52-13A8-4F6A-AA4D-E4088F2946FE}"/>
    <hyperlink ref="F720" location="cd15.2.3" display="cd15.2.3" xr:uid="{6D798E0D-B901-4E20-BB8D-B279F26E4709}"/>
    <hyperlink ref="F725" location="cd15.2.3" display="cd15.2.3" xr:uid="{5695BCA4-8B2D-48EC-8537-21CA3B6190F8}"/>
    <hyperlink ref="F731" location="cd15.2.3" display="cd15.2.3" xr:uid="{A1B2D57A-6D5F-4C39-8A28-8308C7463A57}"/>
    <hyperlink ref="F737" location="cd15.2.3" display="cd15.2.3" xr:uid="{636646A7-68AD-4CEC-9A37-B10490B2CE1C}"/>
    <hyperlink ref="F749" location="cd15.2.3" display="cd15.2.3" xr:uid="{812FF8A8-BF18-463B-BC36-7B64C963830D}"/>
    <hyperlink ref="F756" location="cd15.2.3" display="cd15.2.3" xr:uid="{101CF818-464C-4E53-9F38-AF541CA64315}"/>
    <hyperlink ref="F763" location="cd15.2.3" display="cd15.2.3" xr:uid="{288B4D96-9F1B-4F8E-BD30-4767E9DE085A}"/>
    <hyperlink ref="F711" location="cd15.2.2" display="cd15.2.2" xr:uid="{140D5562-5BEF-4382-831B-03B0C5D5B85A}"/>
    <hyperlink ref="F748" location="cd15.2.2" display="cd15.2.2" xr:uid="{830D627B-06BE-485E-9EA4-2B51B4485B82}"/>
    <hyperlink ref="F755" location="cd15.2.2" display="cd15.2.2" xr:uid="{1C688C7B-1BB7-445C-8339-951A5DAADA54}"/>
    <hyperlink ref="F762" location="cd15.2.2" display="cd15.2.2" xr:uid="{F42599E6-4734-4AEA-8CCE-335B3C31DF97}"/>
    <hyperlink ref="F719" location="cd15.2.1" display="cd15.2.1" xr:uid="{E14A312D-3B83-43FE-B166-900993850DF0}"/>
    <hyperlink ref="F766" location="cd15.3.1" display="cd15.3.1" xr:uid="{A06B86EA-B483-455C-84CE-C96737EB7D66}"/>
    <hyperlink ref="F767" location="cd15.3.2" display="cd15.3.2" xr:uid="{36303A02-6849-4547-AC22-B7885387ED33}"/>
    <hyperlink ref="F768" location="cd15.3.3" display="cd15.3.3" xr:uid="{B89721B2-0F70-403C-9BFD-ADC05239FA0E}"/>
    <hyperlink ref="F130" location="cd6.1.1.3" display="cd6.1.1.3" xr:uid="{D39D827F-888A-48A2-94A9-E841AD031FCA}"/>
    <hyperlink ref="F131" location="cd6.1.1.4" display="cd6.1.1.4" xr:uid="{B5BE5FF8-26E3-4C96-A1B0-626BD36F5B6C}"/>
    <hyperlink ref="F133" location="cd6.1.2.1" display="cd6.1.2.1" xr:uid="{72368D53-41FA-4979-8111-B270B0BA53BB}"/>
    <hyperlink ref="F134" location="cd6.1.2.2" display="cd6.1.2.2" xr:uid="{EE5BECAD-EACF-4776-9EEF-1990F5B26ABD}"/>
    <hyperlink ref="F135" location="cd6.1.2.3" display="cd6.1.2.3" xr:uid="{F8E87080-DA99-4278-A359-E1FD7A2FB88F}"/>
    <hyperlink ref="F136" location="cd6.1.2.4" display="cd6.1.2.4" xr:uid="{BEFC84A0-DEBC-4FED-95DF-0737374AE22E}"/>
    <hyperlink ref="F137" location="cd6.1.2.5" display="cd6.1.2.5" xr:uid="{90875508-C61E-4DC9-AF5F-4176B885CD9A}"/>
    <hyperlink ref="F138" location="cd6.1.2.6" display="cd6.1.2.6" xr:uid="{43678A89-5C96-4CAB-A3BD-E802654EB9DF}"/>
    <hyperlink ref="F139" location="cd6.1.2.7" display="cd6.1.2.7" xr:uid="{2EC3EA42-D4D9-4FA3-9601-58DA219981CB}"/>
    <hyperlink ref="F140" location="cd6.1.2.8" display="cd6.1.2.8" xr:uid="{4DBD04F7-2B6A-4E26-A81A-46B889736B5A}"/>
    <hyperlink ref="F141" location="cd6.1.2.10" display="cd6.1.2.10" xr:uid="{B91D520A-4ACF-4611-91DD-E12A36DE998E}"/>
    <hyperlink ref="F142" location="cd6.1.2.11" display="cd6.1.2.11" xr:uid="{9E8F3A0E-D981-4E4A-ADC0-7F0C125848A4}"/>
    <hyperlink ref="F143" location="cd6.1.2.12" display="cd6.1.2.12" xr:uid="{87ED6765-C191-4149-A056-AD8E9D133FE3}"/>
    <hyperlink ref="F144" location="cd6.1.2.13" display="cd6.1.2.13" xr:uid="{AD5FD35C-321F-47F4-9EC2-6530E3305DBA}"/>
    <hyperlink ref="F146" location="cd6.1.3.1" display="cd6.1.3.1" xr:uid="{42E9E0DE-B712-41B2-9F4F-7937E05CA1F0}"/>
    <hyperlink ref="F147" location="cd6.1.3.2" display="cd6.1.3.2" xr:uid="{93204ABE-C608-4D9F-88A5-B640A737F598}"/>
    <hyperlink ref="F150" location="cd6.2.2.1" display="cd6.2.2.1" xr:uid="{533656B6-F0F0-460C-BC07-0C3701C0AF25}"/>
    <hyperlink ref="F151" location="cd6.2.2.2" display="cd6.2.2.2" xr:uid="{7DAF895D-7C21-409B-93AF-4DB111937FE8}"/>
    <hyperlink ref="F152" location="cd6.2.2.3" display="cd6.2.2.3" xr:uid="{7FCFF80C-3929-41F2-92A0-5154E0184EFB}"/>
    <hyperlink ref="F153" location="cd6.2.2.5" display="cd6.2.2.5" xr:uid="{ED5F86AB-9597-4D49-B2B1-59C094F487F8}"/>
    <hyperlink ref="F154" location="cd6.2.2.6" display="cd6.2.2.6" xr:uid="{D42BD2C1-0180-465E-A4E9-97161BCD4329}"/>
    <hyperlink ref="F155" location="cd6.2.2.7" display="cd6.2.2.7" xr:uid="{7E1D4560-601B-42B3-BF90-3D72B10A50CC}"/>
    <hyperlink ref="F156" location="cd6.2.2.9" display="cd6.2.2.9" xr:uid="{55A43BC1-9361-4320-8975-B0215D4F096A}"/>
    <hyperlink ref="F157" location="cd6.2.2.10" display="cd6.2.2.10" xr:uid="{C091DFCF-DC5E-4EA6-9AB6-C09EBB01D840}"/>
    <hyperlink ref="F158" location="cd6.2.2.11" display="cd6.2.2.11" xr:uid="{FDD3FBFC-8336-483D-83C9-00C9610C5E88}"/>
    <hyperlink ref="F160" location="cd6.2.4.7" display="cd6.2.4.7" xr:uid="{41F917A9-EF0B-4CC5-9289-8CCDD035022B}"/>
    <hyperlink ref="F162" location="cd6.2.5.1" display="cd6.2.5.1" xr:uid="{1BDC9D2B-2160-407F-BBC6-33E350A7D308}"/>
    <hyperlink ref="F163" location="cd6.2.5.2" display="cd6.2.5.2" xr:uid="{E7FA034F-B715-49E7-AAD4-3C10650F1DD6}"/>
    <hyperlink ref="F166" location="cd6.3.1.1" display="cd6.3.1.1" xr:uid="{8B337DA0-4977-4582-B72D-EBE2D10E76F9}"/>
    <hyperlink ref="F167" location="cd6.3.1.3" display="cd6.3.1.3" xr:uid="{0F83ED75-C762-430C-86BB-0B39B46DFD02}"/>
    <hyperlink ref="F168" location="cd6.3.1.4" display="cd6.3.1.4" xr:uid="{1CBB9778-3E1D-4EA5-BEBB-5598182E83FB}"/>
    <hyperlink ref="F170" location="cd6.3.2.1" display="cd6.3.2.1" xr:uid="{F0DFC40E-F9D1-414D-B10C-9F41F9052351}"/>
    <hyperlink ref="F171" location="cd6.3.2.2" display="cd6.3.2.2" xr:uid="{A545381F-D665-4DE3-BDA5-6D15BB28A5E0}"/>
    <hyperlink ref="F172" location="cd6.3.2.3" display="cd6.3.2.3" xr:uid="{2CB82972-1111-4A47-8208-41956D0832E4}"/>
    <hyperlink ref="F173" location="cd6.3.2.4" display="cd6.3.2.4" xr:uid="{4A7A890A-1480-4D2F-9F19-3792040D27C5}"/>
    <hyperlink ref="F174" location="cd6.3.2.5" display="cd6.3.2.5" xr:uid="{AFCA6BBA-17C3-475E-BB20-5C5A54765813}"/>
    <hyperlink ref="F175" location="cd6.3.2.6" display="cd6.3.2.6" xr:uid="{BC719BA9-9909-4484-B94D-6201FD57F412}"/>
    <hyperlink ref="F176" location="cd6.3.2.7" display="cd6.3.2.7" xr:uid="{E56A123F-93C4-4856-AAED-856C0807B074}"/>
    <hyperlink ref="F177" location="cd6.3.2.8" display="cd6.3.2.8" xr:uid="{66E633AD-B435-4808-A68E-77CFC282009B}"/>
    <hyperlink ref="F178" location="cd6.3.2.9" display="cd6.3.2.9" xr:uid="{6785E1C8-4EA5-4F4E-AB34-6DCEFE9A447B}"/>
    <hyperlink ref="F179" location="cd6.3.2.10" display="cd6.3.2.10" xr:uid="{1DEAB4BC-A31C-4671-BA9E-D34B0D44B5CD}"/>
    <hyperlink ref="F181" location="cd6.3.3.1" display="cd6.3.3.1" xr:uid="{43C8F1DC-2393-40D3-9034-4DE27651A5BE}"/>
    <hyperlink ref="F182" location="cd6.3.3.2" display="cd6.3.3.2" xr:uid="{E9AFEB53-FE88-4154-BBC9-19801B4F12B8}"/>
    <hyperlink ref="F183" location="cd6.3.3.3" display="cd6.3.3.3" xr:uid="{D6490830-AEE2-4AB3-8855-693FAF150287}"/>
    <hyperlink ref="F184" location="cd6.3.3.4" display="cd6.3.3.4" xr:uid="{A113A649-5C24-4E3F-A8BC-D463DD108855}"/>
    <hyperlink ref="F185" location="cd6.3.3.5" display="cd6.3.3.5" xr:uid="{92ADAC8E-B386-45F2-8D0E-57BC18779246}"/>
    <hyperlink ref="F186" location="cd6.3.3.6" display="cd6.3.3.6" xr:uid="{566B129A-4EBD-4D63-8119-A37ECA29E016}"/>
    <hyperlink ref="F187" location="cd6.3.3.7" display="cd6.3.3.7" xr:uid="{AB60E15F-6CCD-4E76-80AA-CBB7C840437F}"/>
    <hyperlink ref="F189" location="cd6.3.4.1" display="cd6.3.4.1" xr:uid="{24B228AF-9EA2-497B-A8A4-76B8F5AD7A05}"/>
    <hyperlink ref="F190" location="cd6.3.4.2" display="cd6.3.4.2" xr:uid="{4CB3EC3D-12C0-440C-AB80-C1AC9FC8C817}"/>
    <hyperlink ref="F191" location="cd6.3.4.3" display="cd6.3.4.3" xr:uid="{B4C6B4E1-9FFE-47E3-B62F-A9A507A8603B}"/>
    <hyperlink ref="F192" location="cd6.3.4.4" display="cd6.3.4.4" xr:uid="{D6A7678A-88BB-4B87-A9AD-969420503E39}"/>
    <hyperlink ref="F193" location="cd6.3.4.5" display="cd6.3.4.5" xr:uid="{26868B20-105E-43BD-ACA9-8A9695745D53}"/>
    <hyperlink ref="F195" location="cd6.3.5.1" display="cd6.3.5.1" xr:uid="{CDB024E3-9DFD-4884-B34C-D9B66C0BA5F8}"/>
    <hyperlink ref="F196" location="cd6.3.5.2" display="cd6.3.5.2" xr:uid="{4A54C571-661F-4A5D-8B5C-89242B63A8DA}"/>
    <hyperlink ref="F197" location="cd6.3.5.3" display="cd6.3.5.3" xr:uid="{1A5C6DBF-2FBE-4E04-BCA9-8EF90FA0786B}"/>
    <hyperlink ref="F198" location="cd6.3.5.4" display="cd6.3.5.4" xr:uid="{BF31D665-1DD2-4260-90AD-CF89BBCE4C4D}"/>
    <hyperlink ref="F200" location="cd6.3.6.1" display="cd6.3.6.1" xr:uid="{6ABF8CA8-7086-4871-9E5F-5380C7AAE8BF}"/>
    <hyperlink ref="F202" location="cd6.3.7.1" display="cd6.3.7.1" xr:uid="{4D1E51C0-F178-4EA0-AC47-FF49CB2A1127}"/>
    <hyperlink ref="F205" location="cd6.3.8.2" display="cd6.3.8.2" xr:uid="{D50CD312-59C7-49E6-ADB3-38814CB6C737}"/>
    <hyperlink ref="F206" location="cd6.3.8.3" display="cd6.3.8.3" xr:uid="{3137705D-D2F3-4678-852C-F610F9C458B2}"/>
    <hyperlink ref="F207" location="cd6.3.8.4" display="cd6.3.8.4" xr:uid="{C144AA13-BE65-49A7-B0FE-498946183542}"/>
    <hyperlink ref="F208" location="cd6.3.8.5" display="cd6.3.8.5" xr:uid="{EFC2BC65-F372-4B39-9FDE-79FA330B31F2}"/>
    <hyperlink ref="F209" location="cd6.3.8.6" display="cd6.3.8.6" xr:uid="{D555728F-BB11-4668-9062-04266DB853D7}"/>
    <hyperlink ref="F210" location="cd6.3.8.7" display="cd6.3.8.7" xr:uid="{B1B82478-E934-48B9-8B44-F85FFAC6D472}"/>
    <hyperlink ref="F211" location="cd6.3.8.8" display="cd6.3.8.8" xr:uid="{F49762DE-EB5F-44F2-8E90-AB4C892AA972}"/>
    <hyperlink ref="F212" location="cd6.3.8.9" display="cd6.3.8.9" xr:uid="{A2E2EC1F-B125-4AFF-AAF8-005E5776E032}"/>
    <hyperlink ref="F213" location="cd6.3.8.10" display="cd6.3.8.10" xr:uid="{803F804F-8876-431C-BF14-0A2EB7B8C83F}"/>
    <hyperlink ref="F216" location="cd6.4.1.1" display="cd6.4.1.1" xr:uid="{D17F6EF7-42D3-45C6-978E-55BE81CCD7D1}"/>
    <hyperlink ref="F217" location="cd6.4.1.2" display="cd6.4.1.2" xr:uid="{40365036-CBDE-4BCA-B389-726B5C7E060C}"/>
    <hyperlink ref="F218" location="cd6.4.1.3" display="cd6.4.1.3" xr:uid="{9397BFD2-2A8E-4EE0-AE74-0301BF8A7C0E}"/>
    <hyperlink ref="F658" location="cd13.4.1" display="cd13.4.1" xr:uid="{BA811E49-8BFB-4E5A-9358-3EA51CE122FF}"/>
    <hyperlink ref="F659" location="cd13.4.2" display="cd13.4.2" xr:uid="{27AE237F-CC08-43F1-B05E-1BBE242FCA05}"/>
    <hyperlink ref="F220" location="cd6.4.2.1" display="cd6.4.2.1" xr:uid="{CA3C7301-CA2A-4010-8296-7F6EB02188FE}"/>
    <hyperlink ref="F221" location="cd6.4.2.2" display="cd6.4.2.2" xr:uid="{8CFBE8A4-B202-4EE0-B695-D192ECE32C58}"/>
    <hyperlink ref="F222" location="cd6.4.2.3" display="cd6.4.2.3" xr:uid="{5337FE2E-E0B7-4EBA-A9FC-7D5308BB0757}"/>
    <hyperlink ref="F223" location="cd6.4.2.4" display="cd6.4.2.4" xr:uid="{4E95DC93-B0CD-4440-8E65-29824A6A2EAE}"/>
    <hyperlink ref="F224" location="cd6.4.2.5" display="cd6.4.2.5" xr:uid="{F3F88052-CDEC-4659-90B1-7D71C52AAEAA}"/>
    <hyperlink ref="F225" location="cd6.4.2.6" display="cd6.4.2.6" xr:uid="{D9BFC476-ACE4-4127-B988-03AF30CEB03F}"/>
    <hyperlink ref="F226" location="cd6.4.2.7" display="cd6.4.2.7" xr:uid="{34534064-EDC7-4559-9745-5B77D1DD83F8}"/>
    <hyperlink ref="F227" location="cd6.4.2.8" display="cd6.4.2.8" xr:uid="{14EB2898-4800-4A7F-90EF-17F82F0DC04C}"/>
    <hyperlink ref="F228" location="cd6.4.2.9" display="cd6.4.2.9" xr:uid="{081B731B-EDAC-4E76-AE5E-26644C4381E3}"/>
    <hyperlink ref="F229" location="cd6.4.2.10" display="cd6.4.2.10" xr:uid="{059A0631-8384-4972-909E-D0D1AE933B5A}"/>
    <hyperlink ref="F230" location="cd6.4.2.11" display="cd6.4.2.11" xr:uid="{8693DB39-8BE1-4BE1-9FE9-A55518460C96}"/>
    <hyperlink ref="F232" location="cd6.4.3.1" display="cd6.4.3.1" xr:uid="{800A619E-CBC3-457B-BDDF-A86C80B9E550}"/>
    <hyperlink ref="F233" location="cd6.4.3.2" display="cd6.4.3.2" xr:uid="{C35A6FB8-E501-49E4-95B6-F7DB70F0CFCA}"/>
    <hyperlink ref="F615" location="cd13.1.2" display="cd13.1.2" xr:uid="{48FEA3D0-8E96-47E8-BC5D-31C7419197E6}"/>
    <hyperlink ref="F623" location="cd13.1.2" display="cd13.1.2" xr:uid="{480A761A-7056-4DE5-9331-9633AA1F0BB6}"/>
    <hyperlink ref="F632" location="cd13.1.2" display="cd13.1.2" xr:uid="{6726AAF1-AB15-4124-86B0-35AA569A1FE4}"/>
    <hyperlink ref="F641" location="cd13.1.2" display="cd13.1.2" xr:uid="{EEFA6578-9803-4DC2-B030-CD9437A0C303}"/>
    <hyperlink ref="F651" location="cd13.1.2" display="cd13.1.2" xr:uid="{B460DED7-21E7-49AF-B805-23160175DBA0}"/>
    <hyperlink ref="F601" location="cd11.3.1" display="cd11.3.1" xr:uid="{77E969E4-CB75-4DE1-92E0-E427AD65CD07}"/>
    <hyperlink ref="F926" location="cd22.1.2" display="cd22.1.2" xr:uid="{7BA00EAD-9521-452B-8884-4034E6C284BB}"/>
    <hyperlink ref="F204" location="cd6.3.8.1" display="cd6.3.8.1" xr:uid="{3B2CE215-51F6-4E88-B013-BEB612E074FD}"/>
    <hyperlink ref="F235" location="cd6.4.4.1" display="cd6.4.4.1" xr:uid="{22D6C1A4-571B-4246-8F1E-2CCE2A75C507}"/>
    <hyperlink ref="F236" location="cd6.4.4.2" display="cd6.4.4.2" xr:uid="{8E8A1237-074E-47BB-B3DA-14546B2B63C9}"/>
    <hyperlink ref="F237" location="cd6.4.4.3" display="cd6.4.4.3" xr:uid="{40F95715-5142-4736-83DF-DD8847F0D1E5}"/>
    <hyperlink ref="F239" location="cd6.4.5.1" display="cd6.4.5.1" xr:uid="{0ED8464E-6BDF-4A84-9C6E-03083125D2D6}"/>
    <hyperlink ref="F466" location="cd8.1.1" display="cd8.1.1" xr:uid="{EB2D2F87-E52E-4564-A0F0-1D231E32501B}"/>
    <hyperlink ref="F467" location="cd8.1.2" display="cd8.1.2" xr:uid="{744F42E8-8EDE-4D29-AC7A-61E9CA5B249F}"/>
    <hyperlink ref="F468" location="cd8.1.4" display="cd8.1.4" xr:uid="{E94BC602-D6D2-472E-ABEB-1FCFCB889F3E}"/>
    <hyperlink ref="F469" location="cd8.1.5" display="cd8.1.5" xr:uid="{D0D34CDE-8561-406F-8C73-16817533632E}"/>
    <hyperlink ref="F470" location="cd8.1.6" display="cd8.1.6" xr:uid="{FD2970D3-3EFE-4B55-8D4A-C79A0B8BD6F9}"/>
    <hyperlink ref="F471" location="cd8.1.7" display="cd8.1.7" xr:uid="{C5FDDCBC-49E7-492B-BFCD-90B16B78B3E2}"/>
    <hyperlink ref="F472" location="cd8.1.8" display="cd8.1.8" xr:uid="{5AAC911F-19E7-49CF-B545-113E65EF0AC3}"/>
    <hyperlink ref="F485" location="cd8.1.1" display="cd8.1.1" xr:uid="{D562C8E4-BE5A-4035-82D9-5377E93F55EF}"/>
    <hyperlink ref="F486" location="cd8.1.2" display="cd8.1.2" xr:uid="{80ABF494-7B81-42D6-AF22-9C1F251BFA5F}"/>
    <hyperlink ref="F487" location="cd8.1.3" display="cd8.1.3" xr:uid="{1C28FD4E-7FD7-4C08-A47F-C2B8308D3FA8}"/>
    <hyperlink ref="F488" location="cd8.1.4" display="cd8.1.4" xr:uid="{A8DA1F9C-6403-4F09-903B-8C2E62D14E3B}"/>
    <hyperlink ref="F489" location="cd8.1.5" display="cd8.1.5" xr:uid="{08192A09-BDEF-4CDF-8ABA-10AD72CA7FDC}"/>
    <hyperlink ref="F490" location="cd8.1.6" display="cd8.1.6" xr:uid="{24E8FE74-EAB8-490B-88BC-716627EEEAD1}"/>
    <hyperlink ref="F491" location="cd8.1.7" display="cd8.1.7" xr:uid="{3FCDDCCC-5FAC-4ACD-87BE-BBBE64AF5E0A}"/>
    <hyperlink ref="F492" location="cd8.1.8" display="cd8.1.8" xr:uid="{16C7A130-E71E-438C-BAC0-304E2DEBBE74}"/>
    <hyperlink ref="F504" location="cd8.1.1" display="cd8.1.1" xr:uid="{CA497D7B-39F6-4862-A4F8-FD44A7229D65}"/>
    <hyperlink ref="F505" location="cd8.1.2" display="cd8.1.2" xr:uid="{EFBB694A-E704-4B9E-B0B7-E96CDB448118}"/>
    <hyperlink ref="F506" location="cd8.1.3" display="cd8.1.3" xr:uid="{451D43E9-A301-4A0A-A402-79BCC16FB337}"/>
    <hyperlink ref="F507" location="cd8.1.4" display="cd8.1.4" xr:uid="{CBC16154-4910-4EA1-A1CF-60DDA36D7E59}"/>
    <hyperlink ref="F508" location="cd8.1.5" display="cd8.1.5" xr:uid="{517A65BF-8880-47D2-B0F0-D74ADF7E4643}"/>
    <hyperlink ref="F509" location="cd8.1.6" display="cd8.1.6" xr:uid="{EE44E8BF-6F69-4BA4-86CF-3F84DF751D0D}"/>
    <hyperlink ref="F510" location="cd8.1.7" display="cd8.1.7" xr:uid="{7DD63846-0A21-4A5B-B46E-7A67FFF77FA9}"/>
    <hyperlink ref="F511" location="cd8.1.8" display="cd8.1.8" xr:uid="{DA89A246-C9ED-4923-8C8C-881359DFB29F}"/>
    <hyperlink ref="F474" location="cd8.2.1" display="cd8.2.1" xr:uid="{80686C53-AC25-407D-AAB5-F75966DA579E}"/>
    <hyperlink ref="F475" location="cd8.2.3" display="cd8.2.3" xr:uid="{23F8BC44-8281-483B-A829-0E48C759CC83}"/>
    <hyperlink ref="F495" location="cd8.2.2" display="cd8.2.2" xr:uid="{FD3AE814-20E5-45C4-B42D-1663BABAA9A3}"/>
    <hyperlink ref="F476" location="cd8.2.4" display="cd8.2.4" xr:uid="{5C90EF0A-9B43-4A06-AF76-AC2749FFE797}"/>
    <hyperlink ref="F477" location="cd8.2.5" display="cd8.2.5" xr:uid="{448F313B-AAD9-4F1F-99D0-8C5854BC78B3}"/>
    <hyperlink ref="F478" location="cd8.2.6" display="cd8.2.6" xr:uid="{7BC08AE8-BC55-4605-BEC5-C3B06A60D81B}"/>
    <hyperlink ref="F479" location="cd8.2.7" display="cd8.2.7" xr:uid="{6BA6A836-91F9-45DE-9194-1A023AE15E20}"/>
    <hyperlink ref="F480" location="cd8.2.8" display="cd8.2.8" xr:uid="{DE76583C-605F-4342-BDD4-0DB885619F22}"/>
    <hyperlink ref="F481" location="cd8.2.9" display="cd8.2.9" xr:uid="{23E18FD5-D95A-478E-84C1-2991A1FA55B2}"/>
    <hyperlink ref="F482" location="cd8.2.10" display="cd8.2.10" xr:uid="{F764B3D2-85BA-4FA2-809F-2BFDB2ABDF50}"/>
    <hyperlink ref="F494" location="cd8.2.1" display="cd8.2.1" xr:uid="{13D1C90D-783B-4AED-8F96-89E98F0FB383}"/>
    <hyperlink ref="F496" location="cd8.2.3" display="cd8.2.3" xr:uid="{690A040B-B884-483F-8FAD-074DA5350DA1}"/>
    <hyperlink ref="F497" location="cd8.2.4" display="cd8.2.4" xr:uid="{653AD199-5698-4E43-8C92-C5BCA92DF1F1}"/>
    <hyperlink ref="F498" location="cd8.2.5" display="cd8.2.5" xr:uid="{6105FB92-CCB9-4297-BCAF-34479D16C92C}"/>
    <hyperlink ref="F499" location="cd8.2.6" display="cd8.2.6" xr:uid="{312AF461-C144-450E-9667-E0D3C3CA6DA7}"/>
    <hyperlink ref="F500" location="cd8.2.7" display="cd8.2.7" xr:uid="{9A672FD4-8FC0-4050-8F5E-05961DF5B211}"/>
    <hyperlink ref="F501" location="cd8.2.8" display="cd8.2.8" xr:uid="{D9259836-5E31-4316-A704-58280EA343D7}"/>
    <hyperlink ref="F513" location="cd8.2.1" display="cd8.2.1" xr:uid="{CB337CE5-767D-4A2D-89C4-05BC083B1077}"/>
    <hyperlink ref="F514" location="cd8.2.3" display="cd8.2.3" xr:uid="{D5A33A94-5390-4470-9B30-9FAB73410C62}"/>
    <hyperlink ref="F515" location="cd8.2.4" display="cd8.2.4" xr:uid="{39E3FD9A-4975-48FF-8808-A7822523902E}"/>
    <hyperlink ref="F516" location="cd8.2.5" display="cd8.2.5" xr:uid="{BC7E05E1-FCCA-4DCF-B717-379D8E6E41D5}"/>
    <hyperlink ref="F517" location="cd8.2.6" display="cd8.2.6" xr:uid="{3486761D-B635-4135-892E-7E77ED05FCDB}"/>
    <hyperlink ref="F518" location="cd8.2.7" display="cd8.2.7" xr:uid="{3A9434FA-6BEB-4F61-93FC-765B1DFA2C40}"/>
    <hyperlink ref="F519" location="cd8.2.8" display="cd8.2.8" xr:uid="{2782CE48-012E-4C28-8BFA-EFB0305AAFA6}"/>
    <hyperlink ref="F526" location="cd8.2.1" display="cd8.2.1" xr:uid="{67311B49-1750-488C-BC34-B2224083ECF6}"/>
    <hyperlink ref="F527" location="cd8.2.3" display="cd8.2.3" xr:uid="{D16D5671-D078-4E94-ADBD-32397AE00C83}"/>
    <hyperlink ref="F528" location="cd8.2.4" display="cd8.2.4" xr:uid="{5161EAB9-A08E-4997-94BF-DC93FBFE9EAC}"/>
    <hyperlink ref="F529" location="cd8.2.5" display="cd8.2.5" xr:uid="{7DC397AF-D048-4E61-8A16-DB8ACE2E4539}"/>
    <hyperlink ref="F530" location="cd8.2.6" display="cd8.2.6" xr:uid="{F2D1FDB4-C96C-4EB5-BB96-1F36D38D836D}"/>
    <hyperlink ref="F531" location="cd8.2.7" display="cd8.2.7" xr:uid="{8308BBC9-3EC0-46A7-88DB-0F7187847D3D}"/>
    <hyperlink ref="F532" location="cd8.2.8" display="cd8.2.8" xr:uid="{40A3FA7D-AA6B-46AE-B5DB-63C8EB615103}"/>
    <hyperlink ref="F533" location="cd8.2.9" display="cd8.2.9" xr:uid="{8902897A-2059-4F9D-93A0-49345C91BAC6}"/>
    <hyperlink ref="F534" location="cd8.2.10" display="cd8.2.10" xr:uid="{E776685F-293F-4FE5-B6C1-F8A464507898}"/>
    <hyperlink ref="F521" location="cd8.3.1" display="cd8.3.1" xr:uid="{B06811F7-736F-4335-84F3-D316F2CE0AF6}"/>
    <hyperlink ref="F522" location="cd8.3.2" display="cd8.3.2" xr:uid="{D5D67D85-76B0-4E25-B1E5-7BD04B891E8A}"/>
    <hyperlink ref="F523" location="cd8.3.3" display="cd8.3.3" xr:uid="{D9F0D0EF-2399-4325-BCE0-96D8B4A83A96}"/>
    <hyperlink ref="F26" location="cd1.1" display="cd1.1" xr:uid="{AE5D329E-8E9E-4519-A068-3EC7F185D712}"/>
    <hyperlink ref="F29" location="cd2.2.2" display="cd2.2.2" xr:uid="{B2040ED3-CB47-4B37-888B-8F232E787874}"/>
    <hyperlink ref="F30" location="cd2.2.4" display="cd2.2.4" xr:uid="{B66793A6-366A-40ED-A6CC-8AE2A13B4AB0}"/>
    <hyperlink ref="F31" location="cd2.2.5" display="cd2.2.5" xr:uid="{4C665BC8-B21B-4C4B-80CD-58766C6FC13E}"/>
    <hyperlink ref="F34" location="cd2.4.1.9" display="cd2.4.1.9" xr:uid="{6AA7189D-3555-40FD-92FE-1B24688C2F0F}"/>
    <hyperlink ref="F36" location="cd2.4.1.9" display="cd2.4.1.9" xr:uid="{BD21C89A-752C-4C61-B0AD-990791052E00}"/>
    <hyperlink ref="F46" location="cd2.4.1.9" display="cd2.4.1.9" xr:uid="{93150561-9FFF-46FA-BD10-D80AFEFED98C}"/>
    <hyperlink ref="F38" location="cd2.4.1.1" display="cd2.4.1.1" xr:uid="{4A949ED9-3A04-49FE-AAAB-EC1414F5FD1C}"/>
    <hyperlink ref="F39" location="cd2.4.1.2" display="cd2.4.1.2" xr:uid="{01B04716-06FB-4664-84CE-233A9C4B7868}"/>
    <hyperlink ref="F40" location="cd2.4.1.3" display="cd2.4.1.3" xr:uid="{A573F415-F147-4ADA-8F3F-E586973CDD19}"/>
    <hyperlink ref="F41" location="cd2.4.1.4" display="cd2.4.1.4" xr:uid="{A4586207-B3F4-420E-BFF1-5FADD6ECE9C2}"/>
    <hyperlink ref="F42" location="cd2.4.1.5" display="cd2.4.1.5" xr:uid="{E8C312A7-6FFC-4762-B409-F9DBF82B920A}"/>
    <hyperlink ref="F43" location="cd2.4.1.6" display="cd2.4.1.6" xr:uid="{7DA855E5-FDDB-4BC5-9DA7-176E59BCF834}"/>
    <hyperlink ref="F44" location="cd2.4.1.7" display="cd2.4.1.7" xr:uid="{AFF8F79D-D882-475E-84D9-A453DBC02B66}"/>
    <hyperlink ref="F45" location="cd2.4.1.8" display="cd2.4.1.8" xr:uid="{70F43942-3283-48FC-81FB-FD1783E519FB}"/>
    <hyperlink ref="F48" location="cd2.5.3" display="cd2.5.3" xr:uid="{55780B72-1CFC-42CE-95D1-87F416F61AEF}"/>
    <hyperlink ref="F52" location="cd3.1.1" display="cd3.1.1" xr:uid="{AC878669-442D-4BBA-80EA-4854782072BB}"/>
    <hyperlink ref="F53" location="cd3.1.1" display="cd3.1.1" xr:uid="{D4255A10-A3FD-47B7-BC73-E0482F3D6C9A}"/>
    <hyperlink ref="F55" location="cd3.2.1" display="cd3.2.1" xr:uid="{C21E2B14-D896-41A2-819C-A318EC5B4686}"/>
    <hyperlink ref="F56:F57" location="cd3.2.1" display="cd3.2.1" xr:uid="{B432C8EF-D4A0-4B68-93DC-6F0418405551}"/>
    <hyperlink ref="F59" location="cd3.3.1" display="cd3.3.1" xr:uid="{2DCA4AD3-1C36-46F0-A989-71776556E530}"/>
    <hyperlink ref="F60:F61" location="cd3.3.1" display="cd3.3.1" xr:uid="{E2C7370C-8EA4-442D-B35D-2D636D8D7116}"/>
    <hyperlink ref="F63" location="cd3.4.1" display="cd3.4.1" xr:uid="{E76F4FC4-84DE-477D-8C65-E97D8FAA961C}"/>
    <hyperlink ref="F64" location="cd3.4.1" display="cd3.4.1" xr:uid="{F946F9F2-81B7-461A-AE35-6813FE24FFB0}"/>
    <hyperlink ref="F65" location="cd3.4.2" display="cd3.4.2" xr:uid="{B3C74AB0-4D43-4BF2-9AD2-792D3C9859D0}"/>
    <hyperlink ref="F66:F67" location="cd3.4.2" display="cd3.4.2" xr:uid="{E843E318-9C52-4F1A-9D3E-C36084BB47F0}"/>
    <hyperlink ref="F68" location="cd3.4.3" display="cd3.4.3" xr:uid="{EFB41BE6-166F-4F7B-9190-ECB7390A3568}"/>
    <hyperlink ref="F69:F70" location="cd3.4.3" display="cd3.4.3" xr:uid="{A9CEAE8D-B8C5-41BD-9866-522AA8A3FC30}"/>
  </hyperlinks>
  <pageMargins left="0.7" right="0.7" top="0.75" bottom="0.75" header="0.3" footer="0.3"/>
  <ignoredErrors>
    <ignoredError sqref="F538 F539:F544 F26:F71" unlockedFormula="1"/>
  </ignoredErrors>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Hoja1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Sneyder BRC</dc:creator>
  <cp:lastModifiedBy>Sneyder BRC</cp:lastModifiedBy>
  <dcterms:created xsi:type="dcterms:W3CDTF">2020-06-25T03:20:07Z</dcterms:created>
  <dcterms:modified xsi:type="dcterms:W3CDTF">2020-06-25T03:27:34Z</dcterms:modified>
</cp:coreProperties>
</file>